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drawings/drawing3.xml" ContentType="application/vnd.openxmlformats-officedocument.drawing+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drawings/drawing4.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omments1.xml" ContentType="application/vnd.openxmlformats-officedocument.spreadsheetml.comments+xml"/>
  <Override PartName="/xl/drawings/drawing5.xml" ContentType="application/vnd.openxmlformats-officedocument.drawing+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drawings/drawing6.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328"/>
  <workbookPr codeName="ThisWorkbook"/>
  <mc:AlternateContent xmlns:mc="http://schemas.openxmlformats.org/markup-compatibility/2006">
    <mc:Choice Requires="x15">
      <x15ac:absPath xmlns:x15ac="http://schemas.microsoft.com/office/spreadsheetml/2010/11/ac" url="P:\OHJEET JA SELVITYKSET\Viherrakentaminen\Viherkerroin\Porvoon viherkerroin\Valmis\"/>
    </mc:Choice>
  </mc:AlternateContent>
  <xr:revisionPtr revIDLastSave="0" documentId="8_{213FB5F8-C05E-41C6-A317-2962C819D76D}" xr6:coauthVersionLast="47" xr6:coauthVersionMax="47" xr10:uidLastSave="{00000000-0000-0000-0000-000000000000}"/>
  <workbookProtection workbookAlgorithmName="SHA-512" workbookHashValue="TvYh5wGrxsMEIOYLahZJkFYUDF5L9m0O1Z4Gon5TQycUPJIeT4UKEDkOHs1wma7Upiz73Rbw5sEBJMqLPRJbTw==" workbookSaltValue="37zqv6gdgfut6+LTgcgtKg==" workbookSpinCount="100000" lockStructure="1"/>
  <bookViews>
    <workbookView xWindow="1905" yWindow="1905" windowWidth="21600" windowHeight="11385" activeTab="2" xr2:uid="{00000000-000D-0000-FFFF-FFFF00000000}"/>
  </bookViews>
  <sheets>
    <sheet name="Anvisningar" sheetId="29" r:id="rId1"/>
    <sheet name="Avgränsningar" sheetId="6" r:id="rId2"/>
    <sheet name="Grönkoefficient" sheetId="11" r:id="rId3"/>
    <sheet name="Naturräknare" sheetId="34" r:id="rId4"/>
    <sheet name="Resultat" sheetId="28" r:id="rId5"/>
    <sheet name="Mer om grönkoefficienten" sheetId="30" r:id="rId6"/>
    <sheet name="Mer om elementen" sheetId="33" r:id="rId7"/>
    <sheet name="Mer om naturräknaren" sheetId="35" r:id="rId8"/>
    <sheet name="Painokertoimet" sheetId="12" state="hidden" r:id="rId9"/>
    <sheet name="Kelpoisuusehdot" sheetId="31" state="hidden" r:id="rId10"/>
  </sheets>
  <definedNames>
    <definedName name="helevesiratkaisun_keskisyvyys">Kelpoisuusehdot!$A$1:$A$18</definedName>
    <definedName name="hulevesi_keskisyvyys">Kelpoisuusehdot!$A$4:$A$18</definedName>
    <definedName name="Hulevesiratkaisun_keskisyvyys__m">Kelpoisuusehdot!$A$1:$A$18</definedName>
    <definedName name="_xlnm.Print_Area" localSheetId="8">Painokertoimet!$B$1:$J$39</definedName>
    <definedName name="_xlnm.Print_Area" localSheetId="4">Resultat!$A$1:$L$52</definedName>
    <definedName name="Z_C0826E8D_7112_6B45_A18A_1E6622F31D95_.wvu.Cols" localSheetId="2" hidden="1">Grönkoefficient!$K:$K</definedName>
    <definedName name="Z_C0826E8D_7112_6B45_A18A_1E6622F31D95_.wvu.PrintArea" localSheetId="8" hidden="1">Painokertoimet!$B$1:$J$39</definedName>
    <definedName name="Z_C0826E8D_7112_6B45_A18A_1E6622F31D95_.wvu.PrintArea" localSheetId="4" hidden="1">Resultat!$B$2:$J$51</definedName>
    <definedName name="Z_C0826E8D_7112_6B45_A18A_1E6622F31D95_.wvu.Rows" localSheetId="5" hidden="1">'Mer om grönkoefficienten'!$32:$34,'Mer om grönkoefficienten'!$38:$38,'Mer om grönkoefficienten'!#REF!,'Mer om grönkoefficienten'!$43:$43</definedName>
  </definedNames>
  <calcPr calcId="191029"/>
  <customWorkbookViews>
    <customWorkbookView name="Show all" guid="{C0826E8D-7112-6B45-A18A-1E6622F31D95}" maximized="1" yWindow="23" windowWidth="2560" windowHeight="1336" activeSheetId="11"/>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M30" i="12" l="1"/>
  <c r="C44" i="6"/>
  <c r="C43" i="6"/>
  <c r="F16" i="28" l="1"/>
  <c r="J9" i="6" l="1"/>
  <c r="G39" i="34"/>
  <c r="G11" i="34" s="1"/>
  <c r="G40" i="34"/>
  <c r="G41" i="34"/>
  <c r="G13" i="34" s="1"/>
  <c r="AQ35" i="12"/>
  <c r="AR35" i="12"/>
  <c r="AS35" i="12"/>
  <c r="AT35" i="12"/>
  <c r="AU35" i="12"/>
  <c r="AV35" i="12"/>
  <c r="C47" i="6"/>
  <c r="D43" i="6" s="1"/>
  <c r="X26" i="11"/>
  <c r="X27" i="11"/>
  <c r="X28" i="11"/>
  <c r="X29" i="11"/>
  <c r="X30" i="11"/>
  <c r="X31" i="11"/>
  <c r="G12" i="34" l="1"/>
  <c r="K34" i="11"/>
  <c r="V34" i="11" s="1"/>
  <c r="Z34" i="11" s="1"/>
  <c r="W34" i="11"/>
  <c r="X34" i="11"/>
  <c r="Y34" i="11"/>
  <c r="K8" i="11"/>
  <c r="T8" i="11" s="1"/>
  <c r="K6" i="11"/>
  <c r="K3" i="11"/>
  <c r="AC34" i="11" l="1"/>
  <c r="AD34" i="11"/>
  <c r="K13" i="11"/>
  <c r="K12" i="11"/>
  <c r="K7" i="11"/>
  <c r="K5" i="11"/>
  <c r="K4" i="11"/>
  <c r="U12" i="11" l="1"/>
  <c r="Y12" i="11" s="1"/>
  <c r="U13" i="11"/>
  <c r="Y13" i="11" s="1"/>
  <c r="U6" i="11"/>
  <c r="Y6" i="11" s="1"/>
  <c r="U7" i="11"/>
  <c r="Y7" i="11" s="1"/>
  <c r="AD12" i="11"/>
  <c r="AD13" i="11"/>
  <c r="AC12" i="11"/>
  <c r="AC13" i="11"/>
  <c r="Z12" i="11"/>
  <c r="Z13" i="11"/>
  <c r="X12" i="11"/>
  <c r="X13" i="11"/>
  <c r="W12" i="11"/>
  <c r="W13" i="11"/>
  <c r="AC6" i="11"/>
  <c r="AC7" i="11"/>
  <c r="Z6" i="11"/>
  <c r="Z7" i="11"/>
  <c r="X6" i="11"/>
  <c r="X7" i="11"/>
  <c r="W6" i="11"/>
  <c r="W7" i="11"/>
  <c r="M17" i="12"/>
  <c r="O42" i="11" l="1"/>
  <c r="K43" i="11"/>
  <c r="K44" i="11"/>
  <c r="N34" i="12"/>
  <c r="N42" i="12" l="1"/>
  <c r="BF42" i="12" s="1"/>
  <c r="M41" i="12"/>
  <c r="M42" i="12"/>
  <c r="AU41" i="12" l="1"/>
  <c r="AQ41" i="12"/>
  <c r="AR41" i="12"/>
  <c r="AS41" i="12"/>
  <c r="AS42" i="12"/>
  <c r="AR42" i="12"/>
  <c r="AQ42" i="12"/>
  <c r="AJ42" i="12"/>
  <c r="AK42" i="12"/>
  <c r="AL42" i="12"/>
  <c r="AM42" i="12"/>
  <c r="AN42" i="12"/>
  <c r="AT42" i="12"/>
  <c r="J44" i="11"/>
  <c r="L44" i="11" s="1"/>
  <c r="N41" i="12" s="1"/>
  <c r="BF41" i="12" s="1"/>
  <c r="AT41" i="12"/>
  <c r="J43" i="11"/>
  <c r="L43" i="11" s="1"/>
  <c r="AU42" i="12"/>
  <c r="AV42" i="12" l="1"/>
  <c r="AV41" i="12"/>
  <c r="AJ41" i="12"/>
  <c r="AK41" i="12"/>
  <c r="AL41" i="12"/>
  <c r="AM41" i="12"/>
  <c r="AN41" i="12"/>
  <c r="AO42" i="12"/>
  <c r="O12" i="12"/>
  <c r="AO41" i="12" l="1"/>
  <c r="C2" i="28"/>
  <c r="G48" i="34"/>
  <c r="J19" i="6"/>
  <c r="J17" i="6"/>
  <c r="M5" i="12" l="1"/>
  <c r="M6" i="12"/>
  <c r="M12" i="12"/>
  <c r="M13" i="12"/>
  <c r="J14" i="11" l="1"/>
  <c r="L14" i="11" s="1"/>
  <c r="N13" i="12" s="1"/>
  <c r="BF13" i="12" s="1"/>
  <c r="AU13" i="12"/>
  <c r="AT13" i="12"/>
  <c r="AS13" i="12"/>
  <c r="AR13" i="12"/>
  <c r="AQ13" i="12"/>
  <c r="J13" i="11"/>
  <c r="L13" i="11" s="1"/>
  <c r="N12" i="12" s="1"/>
  <c r="BF12" i="12" s="1"/>
  <c r="AU12" i="12"/>
  <c r="AQ12" i="12"/>
  <c r="AT12" i="12"/>
  <c r="AS12" i="12"/>
  <c r="AR12" i="12"/>
  <c r="J7" i="11"/>
  <c r="L7" i="11" s="1"/>
  <c r="N6" i="12" s="1"/>
  <c r="AQ6" i="12"/>
  <c r="AR6" i="12"/>
  <c r="AT6" i="12"/>
  <c r="AS6" i="12"/>
  <c r="AU6" i="12"/>
  <c r="J6" i="11"/>
  <c r="L6" i="11" s="1"/>
  <c r="N5" i="12" s="1"/>
  <c r="AT5" i="12"/>
  <c r="AS5" i="12"/>
  <c r="AR5" i="12"/>
  <c r="AU5" i="12"/>
  <c r="AQ5" i="12"/>
  <c r="G38" i="34"/>
  <c r="G9" i="34" s="1"/>
  <c r="G21" i="34"/>
  <c r="AK5" i="12" l="1"/>
  <c r="BF5" i="12"/>
  <c r="AK6" i="12"/>
  <c r="BF6" i="12"/>
  <c r="AM5" i="12"/>
  <c r="AJ5" i="12"/>
  <c r="AN5" i="12"/>
  <c r="AL5" i="12"/>
  <c r="AM6" i="12"/>
  <c r="AL6" i="12"/>
  <c r="AJ6" i="12"/>
  <c r="AN6" i="12"/>
  <c r="AV13" i="12"/>
  <c r="AV12" i="12"/>
  <c r="AV5" i="12"/>
  <c r="AV6" i="12"/>
  <c r="G52" i="34"/>
  <c r="G25" i="34" s="1"/>
  <c r="G42" i="34"/>
  <c r="G14" i="34" s="1"/>
  <c r="G43" i="34"/>
  <c r="G15" i="34" s="1"/>
  <c r="G44" i="34"/>
  <c r="G16" i="34" s="1"/>
  <c r="G35" i="34"/>
  <c r="G36" i="34"/>
  <c r="G7" i="34" s="1"/>
  <c r="G37" i="34"/>
  <c r="G8" i="34" s="1"/>
  <c r="G45" i="34"/>
  <c r="G18" i="34" s="1"/>
  <c r="G46" i="34"/>
  <c r="G19" i="34" s="1"/>
  <c r="G47" i="34"/>
  <c r="G20" i="34" s="1"/>
  <c r="G53" i="34"/>
  <c r="G54" i="34"/>
  <c r="G28" i="34" s="1"/>
  <c r="G55" i="34"/>
  <c r="F34" i="34"/>
  <c r="F33" i="34"/>
  <c r="G33" i="34" s="1"/>
  <c r="G29" i="34" l="1"/>
  <c r="AO5" i="12"/>
  <c r="AO6" i="12"/>
  <c r="G34" i="34"/>
  <c r="G5" i="34" s="1"/>
  <c r="I51" i="34"/>
  <c r="I7" i="34" s="1"/>
  <c r="G4" i="34"/>
  <c r="B24" i="34"/>
  <c r="B29" i="34"/>
  <c r="G27" i="34"/>
  <c r="G6" i="34"/>
  <c r="B15" i="34"/>
  <c r="Z32" i="11"/>
  <c r="Z33" i="11"/>
  <c r="W20" i="11"/>
  <c r="W18" i="11"/>
  <c r="W17" i="11"/>
  <c r="I34" i="34" l="1"/>
  <c r="C17" i="28"/>
  <c r="B8" i="34"/>
  <c r="K9" i="11"/>
  <c r="T9" i="11" s="1"/>
  <c r="BF34" i="12"/>
  <c r="X25" i="11"/>
  <c r="X24" i="11"/>
  <c r="W21" i="11"/>
  <c r="B15" i="11"/>
  <c r="I42" i="34" l="1"/>
  <c r="I41" i="34" s="1"/>
  <c r="I40" i="34" s="1"/>
  <c r="I39" i="34" s="1"/>
  <c r="I3" i="34" s="1"/>
  <c r="Z30" i="11"/>
  <c r="Z29" i="11"/>
  <c r="Z27" i="11"/>
  <c r="Z28" i="11"/>
  <c r="Z26" i="11"/>
  <c r="Z25" i="11"/>
  <c r="Z24" i="11"/>
  <c r="Y30" i="11"/>
  <c r="Y29" i="11"/>
  <c r="Y27" i="11"/>
  <c r="Y28" i="11"/>
  <c r="Y26" i="11"/>
  <c r="Y25" i="11"/>
  <c r="Y24" i="11"/>
  <c r="K36" i="11"/>
  <c r="K35" i="11"/>
  <c r="K22" i="11"/>
  <c r="K20" i="11"/>
  <c r="AC20" i="11" s="1"/>
  <c r="X33" i="11"/>
  <c r="Y20" i="11"/>
  <c r="Z20" i="11"/>
  <c r="X9" i="11"/>
  <c r="W9" i="11"/>
  <c r="Y9" i="11"/>
  <c r="Z9" i="11"/>
  <c r="AC9" i="11"/>
  <c r="W3" i="11"/>
  <c r="T20" i="11" l="1"/>
  <c r="X20" i="11" s="1"/>
  <c r="AD20" i="11"/>
  <c r="K18" i="11"/>
  <c r="K15" i="11"/>
  <c r="AC4" i="11"/>
  <c r="B36" i="11"/>
  <c r="F5" i="28"/>
  <c r="BA2" i="12" l="1"/>
  <c r="O25" i="12"/>
  <c r="O8" i="12" l="1"/>
  <c r="M33" i="12" l="1"/>
  <c r="J35" i="11" s="1"/>
  <c r="M19" i="12"/>
  <c r="J20" i="11" s="1"/>
  <c r="M8" i="12"/>
  <c r="J9" i="11" s="1"/>
  <c r="D47" i="6"/>
  <c r="L9" i="11" l="1"/>
  <c r="N8" i="12" s="1"/>
  <c r="L35" i="11"/>
  <c r="N33" i="12" s="1"/>
  <c r="BF33" i="12" s="1"/>
  <c r="AU33" i="12"/>
  <c r="AS33" i="12"/>
  <c r="AR33" i="12"/>
  <c r="AQ33" i="12"/>
  <c r="AT33" i="12"/>
  <c r="AT8" i="12"/>
  <c r="AQ19" i="12"/>
  <c r="AU8" i="12"/>
  <c r="AR19" i="12"/>
  <c r="AS19" i="12"/>
  <c r="AS8" i="12"/>
  <c r="AT19" i="12"/>
  <c r="AR8" i="12"/>
  <c r="AU19" i="12"/>
  <c r="AQ8" i="12"/>
  <c r="AL33" i="12" l="1"/>
  <c r="AJ33" i="12"/>
  <c r="AK33" i="12"/>
  <c r="AN33" i="12"/>
  <c r="AM33" i="12"/>
  <c r="AK8" i="12"/>
  <c r="AL8" i="12"/>
  <c r="AN8" i="12"/>
  <c r="BF8" i="12"/>
  <c r="AM8" i="12"/>
  <c r="AJ8" i="12"/>
  <c r="AV19" i="12"/>
  <c r="AV33" i="12"/>
  <c r="AV8" i="12"/>
  <c r="AO33" i="12" l="1"/>
  <c r="AO8" i="12"/>
  <c r="B5" i="11"/>
  <c r="O40" i="11"/>
  <c r="O39" i="11"/>
  <c r="O38" i="11"/>
  <c r="C48" i="6" l="1"/>
  <c r="D48" i="6" s="1"/>
  <c r="H5" i="28" l="1"/>
  <c r="B34" i="11"/>
  <c r="C7" i="28"/>
  <c r="F7" i="28"/>
  <c r="H7" i="28"/>
  <c r="B42" i="11"/>
  <c r="B40" i="11"/>
  <c r="B38" i="11"/>
  <c r="O41" i="11" l="1"/>
  <c r="F31" i="6" l="1"/>
  <c r="D44" i="6" l="1"/>
  <c r="D52" i="6" s="1"/>
  <c r="B20" i="11" l="1"/>
  <c r="D50" i="6"/>
  <c r="J23" i="6" s="1"/>
  <c r="Y33" i="11" l="1"/>
  <c r="Y32" i="11"/>
  <c r="X32" i="11"/>
  <c r="Z31" i="11"/>
  <c r="Y31" i="11"/>
  <c r="Z22" i="11"/>
  <c r="Y22" i="11"/>
  <c r="X22" i="11"/>
  <c r="Z21" i="11"/>
  <c r="Y21" i="11"/>
  <c r="Z19" i="11"/>
  <c r="Y19" i="11"/>
  <c r="X19" i="11"/>
  <c r="Z18" i="11"/>
  <c r="Y18" i="11"/>
  <c r="Z17" i="11"/>
  <c r="Y17" i="11"/>
  <c r="Z16" i="11"/>
  <c r="Y16" i="11"/>
  <c r="W16" i="11"/>
  <c r="Z15" i="11"/>
  <c r="X15" i="11"/>
  <c r="W15" i="11"/>
  <c r="Z14" i="11"/>
  <c r="X14" i="11"/>
  <c r="W14" i="11"/>
  <c r="Z11" i="11"/>
  <c r="X11" i="11"/>
  <c r="W11" i="11"/>
  <c r="Z10" i="11"/>
  <c r="Y10" i="11"/>
  <c r="W10" i="11"/>
  <c r="Z8" i="11"/>
  <c r="Y8" i="11"/>
  <c r="W8" i="11"/>
  <c r="Z5" i="11"/>
  <c r="X5" i="11"/>
  <c r="W5" i="11"/>
  <c r="Z4" i="11"/>
  <c r="X4" i="11"/>
  <c r="W4" i="11"/>
  <c r="Z3" i="11"/>
  <c r="X3" i="11"/>
  <c r="M2" i="12" l="1"/>
  <c r="AQ2" i="12" s="1"/>
  <c r="BA14" i="12"/>
  <c r="O36" i="12"/>
  <c r="O31" i="12"/>
  <c r="O24" i="12"/>
  <c r="O27" i="12"/>
  <c r="O19" i="12"/>
  <c r="O15" i="12"/>
  <c r="O9" i="12"/>
  <c r="M37" i="12"/>
  <c r="M36" i="12"/>
  <c r="M25" i="12"/>
  <c r="M26" i="12"/>
  <c r="M20" i="12"/>
  <c r="M15" i="12"/>
  <c r="M9" i="12"/>
  <c r="O2" i="12"/>
  <c r="O29" i="12"/>
  <c r="O21" i="12"/>
  <c r="O11" i="12"/>
  <c r="M39" i="12"/>
  <c r="M32" i="12"/>
  <c r="J34" i="11" s="1"/>
  <c r="L34" i="11" s="1"/>
  <c r="M23" i="12"/>
  <c r="M4" i="12"/>
  <c r="O37" i="12"/>
  <c r="O20" i="12"/>
  <c r="O10" i="12"/>
  <c r="M40" i="12"/>
  <c r="M38" i="12"/>
  <c r="M34" i="12"/>
  <c r="M28" i="12"/>
  <c r="M10" i="12"/>
  <c r="O40" i="12"/>
  <c r="O33" i="12"/>
  <c r="O30" i="12"/>
  <c r="O23" i="12"/>
  <c r="O22" i="12"/>
  <c r="O18" i="12"/>
  <c r="O14" i="12"/>
  <c r="O7" i="12"/>
  <c r="M35" i="12"/>
  <c r="M31" i="12"/>
  <c r="M24" i="12"/>
  <c r="M27" i="12"/>
  <c r="M18" i="12"/>
  <c r="M14" i="12"/>
  <c r="M7" i="12"/>
  <c r="O41" i="12"/>
  <c r="O39" i="12"/>
  <c r="O35" i="12"/>
  <c r="O28" i="12"/>
  <c r="O17" i="12"/>
  <c r="O4" i="12"/>
  <c r="M22" i="12"/>
  <c r="M11" i="12"/>
  <c r="O38" i="12"/>
  <c r="O32" i="12"/>
  <c r="O26" i="12"/>
  <c r="O16" i="12"/>
  <c r="O3" i="12"/>
  <c r="M29" i="12"/>
  <c r="J31" i="11" s="1"/>
  <c r="M21" i="12"/>
  <c r="M16" i="12"/>
  <c r="M3" i="12"/>
  <c r="D12" i="28"/>
  <c r="AU11" i="12" l="1"/>
  <c r="J12" i="11"/>
  <c r="L12" i="11" s="1"/>
  <c r="N11" i="12" s="1"/>
  <c r="AU24" i="12"/>
  <c r="AQ24" i="12"/>
  <c r="AR24" i="12"/>
  <c r="AS24" i="12"/>
  <c r="AT24" i="12"/>
  <c r="AR39" i="12"/>
  <c r="AS39" i="12"/>
  <c r="AT39" i="12"/>
  <c r="AU39" i="12"/>
  <c r="AQ39" i="12"/>
  <c r="AR32" i="12"/>
  <c r="AS32" i="12"/>
  <c r="AT32" i="12"/>
  <c r="AU32" i="12"/>
  <c r="AQ32" i="12"/>
  <c r="AR31" i="12"/>
  <c r="AS31" i="12"/>
  <c r="AT31" i="12"/>
  <c r="AU31" i="12"/>
  <c r="AQ31" i="12"/>
  <c r="AU27" i="12"/>
  <c r="AQ27" i="12"/>
  <c r="AR27" i="12"/>
  <c r="AS27" i="12"/>
  <c r="AT27" i="12"/>
  <c r="AQ37" i="12"/>
  <c r="AR37" i="12"/>
  <c r="AS37" i="12"/>
  <c r="AT37" i="12"/>
  <c r="AU37" i="12"/>
  <c r="AR22" i="12"/>
  <c r="AS22" i="12"/>
  <c r="AT22" i="12"/>
  <c r="AU22" i="12"/>
  <c r="AQ22" i="12"/>
  <c r="AU20" i="12"/>
  <c r="AS20" i="12"/>
  <c r="AQ20" i="12"/>
  <c r="AR20" i="12"/>
  <c r="AT20" i="12"/>
  <c r="AQ30" i="12"/>
  <c r="AR30" i="12"/>
  <c r="AT30" i="12"/>
  <c r="AS30" i="12"/>
  <c r="AU30" i="12"/>
  <c r="AR28" i="12"/>
  <c r="AS28" i="12"/>
  <c r="AT28" i="12"/>
  <c r="AU28" i="12"/>
  <c r="AQ28" i="12"/>
  <c r="AU26" i="12"/>
  <c r="AQ26" i="12"/>
  <c r="AS26" i="12"/>
  <c r="AR26" i="12"/>
  <c r="AT26" i="12"/>
  <c r="AT21" i="12"/>
  <c r="AU21" i="12"/>
  <c r="AQ21" i="12"/>
  <c r="AR21" i="12"/>
  <c r="AS21" i="12"/>
  <c r="AT34" i="12"/>
  <c r="AM34" i="12" s="1"/>
  <c r="AU34" i="12"/>
  <c r="AN34" i="12" s="1"/>
  <c r="AR34" i="12"/>
  <c r="AK34" i="12" s="1"/>
  <c r="AQ34" i="12"/>
  <c r="AJ34" i="12" s="1"/>
  <c r="AS34" i="12"/>
  <c r="AL34" i="12" s="1"/>
  <c r="AS25" i="12"/>
  <c r="AQ25" i="12"/>
  <c r="AT25" i="12"/>
  <c r="AU25" i="12"/>
  <c r="AR25" i="12"/>
  <c r="AQ29" i="12"/>
  <c r="AR29" i="12"/>
  <c r="AS29" i="12"/>
  <c r="AT29" i="12"/>
  <c r="AU29" i="12"/>
  <c r="AT38" i="12"/>
  <c r="AU38" i="12"/>
  <c r="AR38" i="12"/>
  <c r="AQ38" i="12"/>
  <c r="AS38" i="12"/>
  <c r="AT40" i="12"/>
  <c r="AU40" i="12"/>
  <c r="AR40" i="12"/>
  <c r="AQ40" i="12"/>
  <c r="AS40" i="12"/>
  <c r="AQ23" i="12"/>
  <c r="AR23" i="12"/>
  <c r="AS23" i="12"/>
  <c r="AT23" i="12"/>
  <c r="AU23" i="12"/>
  <c r="AT36" i="12"/>
  <c r="AU36" i="12"/>
  <c r="AQ36" i="12"/>
  <c r="AS36" i="12"/>
  <c r="AR36" i="12"/>
  <c r="J19" i="11"/>
  <c r="L20" i="11"/>
  <c r="BA15" i="12"/>
  <c r="BA16" i="12"/>
  <c r="BA3" i="12"/>
  <c r="BA9" i="12"/>
  <c r="AO34" i="12" l="1"/>
  <c r="N19" i="12"/>
  <c r="AL19" i="12" s="1"/>
  <c r="AV23" i="12"/>
  <c r="AV27" i="12"/>
  <c r="AV36" i="12"/>
  <c r="AV20" i="12"/>
  <c r="AV22" i="12"/>
  <c r="AV40" i="12"/>
  <c r="AV38" i="12"/>
  <c r="AV29" i="12"/>
  <c r="AV34" i="12"/>
  <c r="AV28" i="12"/>
  <c r="AV31" i="12"/>
  <c r="AV32" i="12"/>
  <c r="AV26" i="12"/>
  <c r="AV30" i="12"/>
  <c r="AV24" i="12"/>
  <c r="AV37" i="12"/>
  <c r="AV39" i="12"/>
  <c r="AV25" i="12"/>
  <c r="AV21" i="12"/>
  <c r="BB16" i="12"/>
  <c r="AV43" i="12" l="1"/>
  <c r="AM19" i="12"/>
  <c r="AN19" i="12"/>
  <c r="BF19" i="12"/>
  <c r="AJ19" i="12"/>
  <c r="AK19" i="12"/>
  <c r="AU2" i="12"/>
  <c r="AT2" i="12"/>
  <c r="AS2" i="12"/>
  <c r="AR2" i="12"/>
  <c r="AO19" i="12" l="1"/>
  <c r="AV2" i="12"/>
  <c r="J3" i="11"/>
  <c r="L3" i="11" s="1"/>
  <c r="AQ17" i="12" l="1"/>
  <c r="AU17" i="12"/>
  <c r="AS17" i="12"/>
  <c r="AT17" i="12"/>
  <c r="AR17" i="12"/>
  <c r="J18" i="11"/>
  <c r="AS9" i="12"/>
  <c r="AR9" i="12"/>
  <c r="AQ9" i="12"/>
  <c r="AU9" i="12"/>
  <c r="AT9" i="12"/>
  <c r="J10" i="11"/>
  <c r="J30" i="11"/>
  <c r="J24" i="11"/>
  <c r="AQ11" i="12"/>
  <c r="AT11" i="12"/>
  <c r="AS11" i="12"/>
  <c r="AR11" i="12"/>
  <c r="J25" i="11"/>
  <c r="J32" i="11"/>
  <c r="J26" i="11"/>
  <c r="AT15" i="12"/>
  <c r="AS15" i="12"/>
  <c r="AU15" i="12"/>
  <c r="AR15" i="12"/>
  <c r="AQ15" i="12"/>
  <c r="J16" i="11"/>
  <c r="J39" i="11"/>
  <c r="AR3" i="12"/>
  <c r="AU3" i="12"/>
  <c r="AT3" i="12"/>
  <c r="AS3" i="12"/>
  <c r="AQ3" i="12"/>
  <c r="J4" i="11"/>
  <c r="L4" i="11" s="1"/>
  <c r="AR16" i="12"/>
  <c r="AQ16" i="12"/>
  <c r="AU16" i="12"/>
  <c r="AT16" i="12"/>
  <c r="AS16" i="12"/>
  <c r="J17" i="11"/>
  <c r="J23" i="11"/>
  <c r="J36" i="11"/>
  <c r="J40" i="11"/>
  <c r="J42" i="11"/>
  <c r="AU14" i="12"/>
  <c r="AS14" i="12"/>
  <c r="AT14" i="12"/>
  <c r="AQ14" i="12"/>
  <c r="AR14" i="12"/>
  <c r="J15" i="11"/>
  <c r="J33" i="11"/>
  <c r="J22" i="11"/>
  <c r="J28" i="11"/>
  <c r="J41" i="11"/>
  <c r="AR7" i="12"/>
  <c r="AQ7" i="12"/>
  <c r="AT7" i="12"/>
  <c r="AS7" i="12"/>
  <c r="AU7" i="12"/>
  <c r="J8" i="11"/>
  <c r="AR18" i="12"/>
  <c r="AQ18" i="12"/>
  <c r="AU18" i="12"/>
  <c r="AT18" i="12"/>
  <c r="AS18" i="12"/>
  <c r="J27" i="11"/>
  <c r="J37" i="11"/>
  <c r="AT4" i="12"/>
  <c r="AR4" i="12"/>
  <c r="AU4" i="12"/>
  <c r="AQ4" i="12"/>
  <c r="AS4" i="12"/>
  <c r="J5" i="11"/>
  <c r="L5" i="11" s="1"/>
  <c r="J21" i="11"/>
  <c r="J38" i="11"/>
  <c r="AT10" i="12"/>
  <c r="AS10" i="12"/>
  <c r="AR10" i="12"/>
  <c r="AQ10" i="12"/>
  <c r="AU10" i="12"/>
  <c r="J11" i="11"/>
  <c r="AQ43" i="12" l="1"/>
  <c r="AT43" i="12"/>
  <c r="AS43" i="12"/>
  <c r="AU43" i="12"/>
  <c r="AR43" i="12"/>
  <c r="AV10" i="12"/>
  <c r="AV4" i="12"/>
  <c r="AV9" i="12"/>
  <c r="AV14" i="12"/>
  <c r="AV17" i="12"/>
  <c r="AV3" i="12"/>
  <c r="AV11" i="12"/>
  <c r="AV18" i="12"/>
  <c r="AV7" i="12"/>
  <c r="AV15" i="12"/>
  <c r="AV16" i="12"/>
  <c r="K42" i="11" l="1"/>
  <c r="K41" i="11"/>
  <c r="K40" i="11"/>
  <c r="K39" i="11"/>
  <c r="K38" i="11"/>
  <c r="K37" i="11"/>
  <c r="K32" i="11"/>
  <c r="S32" i="11" s="1"/>
  <c r="W32" i="11" s="1"/>
  <c r="K33" i="11"/>
  <c r="K31" i="11"/>
  <c r="K30" i="11"/>
  <c r="K27" i="11"/>
  <c r="K28" i="11"/>
  <c r="K23" i="11"/>
  <c r="S22" i="11"/>
  <c r="K17" i="11"/>
  <c r="T17" i="11" s="1"/>
  <c r="X17" i="11" s="1"/>
  <c r="K19" i="11"/>
  <c r="K21" i="11"/>
  <c r="K24" i="11"/>
  <c r="K25" i="11"/>
  <c r="K26" i="11"/>
  <c r="K16" i="11"/>
  <c r="K14" i="11"/>
  <c r="K11" i="11"/>
  <c r="K10" i="11"/>
  <c r="U3" i="11"/>
  <c r="AC24" i="11" l="1"/>
  <c r="AD24" i="11"/>
  <c r="S24" i="11"/>
  <c r="AD28" i="11"/>
  <c r="AC28" i="11"/>
  <c r="S28" i="11"/>
  <c r="W28" i="11" s="1"/>
  <c r="AC27" i="11"/>
  <c r="S27" i="11"/>
  <c r="W27" i="11" s="1"/>
  <c r="AD27" i="11"/>
  <c r="AC26" i="11"/>
  <c r="AD26" i="11"/>
  <c r="S26" i="11"/>
  <c r="W26" i="11" s="1"/>
  <c r="AC30" i="11"/>
  <c r="S30" i="11"/>
  <c r="W30" i="11" s="1"/>
  <c r="AD30" i="11"/>
  <c r="AC25" i="11"/>
  <c r="AD25" i="11"/>
  <c r="S25" i="11"/>
  <c r="AC15" i="11"/>
  <c r="U15" i="11"/>
  <c r="Y15" i="11" s="1"/>
  <c r="AD15" i="11"/>
  <c r="T10" i="11"/>
  <c r="X10" i="11" s="1"/>
  <c r="AC10" i="11"/>
  <c r="AC16" i="11"/>
  <c r="AD16" i="11"/>
  <c r="T16" i="11"/>
  <c r="X16" i="11" s="1"/>
  <c r="AD21" i="11"/>
  <c r="T21" i="11"/>
  <c r="X21" i="11" s="1"/>
  <c r="AC21" i="11"/>
  <c r="AC22" i="11"/>
  <c r="AD22" i="11"/>
  <c r="W22" i="11"/>
  <c r="S33" i="11"/>
  <c r="W33" i="11" s="1"/>
  <c r="AD33" i="11"/>
  <c r="AC33" i="11"/>
  <c r="AD31" i="11"/>
  <c r="AC31" i="11"/>
  <c r="S31" i="11"/>
  <c r="W31" i="11" s="1"/>
  <c r="AC32" i="11"/>
  <c r="AD32" i="11"/>
  <c r="AC17" i="11"/>
  <c r="AD17" i="11"/>
  <c r="AD11" i="11"/>
  <c r="U11" i="11"/>
  <c r="Y11" i="11" s="1"/>
  <c r="AC11" i="11"/>
  <c r="AC19" i="11"/>
  <c r="S19" i="11"/>
  <c r="W19" i="11" s="1"/>
  <c r="AD19" i="11"/>
  <c r="AD14" i="11"/>
  <c r="AC14" i="11"/>
  <c r="U14" i="11"/>
  <c r="Y14" i="11" s="1"/>
  <c r="T18" i="11"/>
  <c r="X18" i="11" s="1"/>
  <c r="AD18" i="11"/>
  <c r="AC18" i="11"/>
  <c r="U5" i="11"/>
  <c r="Y5" i="11" s="1"/>
  <c r="AC5" i="11"/>
  <c r="AC8" i="11"/>
  <c r="U4" i="11"/>
  <c r="Y4" i="11" s="1"/>
  <c r="Y3" i="11"/>
  <c r="AC3" i="11"/>
  <c r="L26" i="11"/>
  <c r="N25" i="12" s="1"/>
  <c r="BF25" i="12" s="1"/>
  <c r="B7" i="11"/>
  <c r="I29" i="11" s="1"/>
  <c r="U37" i="11" l="1"/>
  <c r="U38" i="11" s="1"/>
  <c r="U39" i="11" s="1"/>
  <c r="K29" i="11"/>
  <c r="W24" i="11"/>
  <c r="W25" i="11"/>
  <c r="X8" i="11"/>
  <c r="T37" i="11"/>
  <c r="V37" i="11"/>
  <c r="Z37" i="11" s="1"/>
  <c r="AJ25" i="12"/>
  <c r="AK25" i="12"/>
  <c r="AL25" i="12"/>
  <c r="AM25" i="12"/>
  <c r="AN25" i="12"/>
  <c r="F20" i="28" l="1"/>
  <c r="X37" i="11"/>
  <c r="AC29" i="11"/>
  <c r="AC37" i="11" s="1"/>
  <c r="S29" i="11"/>
  <c r="W29" i="11" s="1"/>
  <c r="AD29" i="11"/>
  <c r="AD37" i="11" s="1"/>
  <c r="Y37" i="11"/>
  <c r="AO25" i="12"/>
  <c r="L11" i="11"/>
  <c r="N10" i="12" s="1"/>
  <c r="S37" i="11" l="1"/>
  <c r="W37" i="11" s="1"/>
  <c r="BF10" i="12"/>
  <c r="BF11" i="12"/>
  <c r="AN11" i="12"/>
  <c r="AN10" i="12"/>
  <c r="L41" i="11"/>
  <c r="N39" i="12" s="1"/>
  <c r="L40" i="11"/>
  <c r="N38" i="12" s="1"/>
  <c r="L39" i="11"/>
  <c r="N37" i="12" s="1"/>
  <c r="L42" i="11"/>
  <c r="N40" i="12" s="1"/>
  <c r="L38" i="11"/>
  <c r="N36" i="12" s="1"/>
  <c r="L37" i="11"/>
  <c r="N35" i="12" l="1"/>
  <c r="BB25" i="12" s="1"/>
  <c r="AY25" i="12"/>
  <c r="AN35" i="12"/>
  <c r="AJ35" i="12"/>
  <c r="AK35" i="12"/>
  <c r="AL35" i="12"/>
  <c r="AM35" i="12"/>
  <c r="AA37" i="11"/>
  <c r="B17" i="11" s="1"/>
  <c r="BF38" i="12"/>
  <c r="AK38" i="12"/>
  <c r="AL38" i="12"/>
  <c r="AM38" i="12"/>
  <c r="AN38" i="12"/>
  <c r="AJ38" i="12"/>
  <c r="BF35" i="12"/>
  <c r="BF39" i="12"/>
  <c r="AN39" i="12"/>
  <c r="AJ39" i="12"/>
  <c r="AK39" i="12"/>
  <c r="AL39" i="12"/>
  <c r="AM39" i="12"/>
  <c r="BF40" i="12"/>
  <c r="AK40" i="12"/>
  <c r="AL40" i="12"/>
  <c r="AM40" i="12"/>
  <c r="AN40" i="12"/>
  <c r="AJ40" i="12"/>
  <c r="BF36" i="12"/>
  <c r="AJ36" i="12"/>
  <c r="AK36" i="12"/>
  <c r="AL36" i="12"/>
  <c r="AM36" i="12"/>
  <c r="AN36" i="12"/>
  <c r="BF37" i="12"/>
  <c r="AN37" i="12"/>
  <c r="AJ37" i="12"/>
  <c r="AK37" i="12"/>
  <c r="AM37" i="12"/>
  <c r="AL37" i="12"/>
  <c r="BA25" i="12" l="1"/>
  <c r="AO35" i="12"/>
  <c r="F11" i="28"/>
  <c r="AO38" i="12"/>
  <c r="AO37" i="12"/>
  <c r="AO40" i="12"/>
  <c r="AO39" i="12"/>
  <c r="AO36" i="12"/>
  <c r="AZ25" i="12"/>
  <c r="L22" i="11"/>
  <c r="N21" i="12" s="1"/>
  <c r="L15" i="11"/>
  <c r="N14" i="12" s="1"/>
  <c r="N4" i="12"/>
  <c r="BF4" i="12" s="1"/>
  <c r="N3" i="12"/>
  <c r="N2" i="12"/>
  <c r="AY33" i="12" l="1"/>
  <c r="B13" i="11"/>
  <c r="F13" i="28" s="1"/>
  <c r="F18" i="28" s="1"/>
  <c r="AZ33" i="12"/>
  <c r="BA33" i="12"/>
  <c r="BC33" i="12"/>
  <c r="BB33" i="12"/>
  <c r="BF14" i="12"/>
  <c r="BF3" i="12"/>
  <c r="AJ3" i="12"/>
  <c r="BF21" i="12"/>
  <c r="AJ21" i="12"/>
  <c r="AK21" i="12"/>
  <c r="AL21" i="12"/>
  <c r="AM21" i="12"/>
  <c r="AN21" i="12"/>
  <c r="BF2" i="12"/>
  <c r="AJ2" i="12"/>
  <c r="AN3" i="12"/>
  <c r="AN14" i="12"/>
  <c r="AN4" i="12"/>
  <c r="J17" i="28"/>
  <c r="L28" i="11"/>
  <c r="N27" i="12" s="1"/>
  <c r="BF27" i="12" s="1"/>
  <c r="BD33" i="12" l="1"/>
  <c r="AN12" i="12"/>
  <c r="AK12" i="12"/>
  <c r="AM12" i="12"/>
  <c r="AL12" i="12"/>
  <c r="AJ12" i="12"/>
  <c r="AO21" i="12"/>
  <c r="AM27" i="12"/>
  <c r="AN27" i="12"/>
  <c r="AJ27" i="12"/>
  <c r="AL27" i="12"/>
  <c r="AK27" i="12"/>
  <c r="AN2" i="12"/>
  <c r="AM2" i="12"/>
  <c r="AO12" i="12" l="1"/>
  <c r="AO27" i="12"/>
  <c r="AM14" i="12"/>
  <c r="AM10" i="12" l="1"/>
  <c r="AM3" i="12"/>
  <c r="AL14" i="12"/>
  <c r="AL10" i="12"/>
  <c r="AK10" i="12"/>
  <c r="AJ10" i="12"/>
  <c r="AK3" i="12"/>
  <c r="AL3" i="12"/>
  <c r="AJ14" i="12"/>
  <c r="AK14" i="12"/>
  <c r="AJ4" i="12"/>
  <c r="AL4" i="12"/>
  <c r="AK4" i="12"/>
  <c r="AM4" i="12"/>
  <c r="AL11" i="12"/>
  <c r="AM11" i="12"/>
  <c r="AJ11" i="12"/>
  <c r="AK11" i="12"/>
  <c r="AL2" i="12"/>
  <c r="AK2" i="12"/>
  <c r="C54" i="6" l="1"/>
  <c r="D54" i="6" s="1"/>
  <c r="D55" i="6" s="1"/>
  <c r="AO14" i="12"/>
  <c r="AO2" i="12"/>
  <c r="AO3" i="12"/>
  <c r="AO11" i="12"/>
  <c r="AO10" i="12"/>
  <c r="AO4" i="12"/>
  <c r="C24" i="28" l="1"/>
  <c r="I17" i="28"/>
  <c r="L8" i="11"/>
  <c r="L16" i="11"/>
  <c r="N15" i="12" s="1"/>
  <c r="L17" i="11"/>
  <c r="L18" i="11"/>
  <c r="L19" i="11"/>
  <c r="L21" i="11"/>
  <c r="N20" i="12" s="1"/>
  <c r="L24" i="11"/>
  <c r="N23" i="12" s="1"/>
  <c r="BF23" i="12" s="1"/>
  <c r="L25" i="11"/>
  <c r="N24" i="12" s="1"/>
  <c r="BF24" i="12" s="1"/>
  <c r="L23" i="11"/>
  <c r="N22" i="12" s="1"/>
  <c r="L27" i="11"/>
  <c r="N26" i="12" s="1"/>
  <c r="AY23" i="12" s="1"/>
  <c r="L30" i="11"/>
  <c r="N28" i="12" s="1"/>
  <c r="L31" i="11"/>
  <c r="L32" i="11"/>
  <c r="L33" i="11"/>
  <c r="N31" i="12" s="1"/>
  <c r="N32" i="12"/>
  <c r="BF32" i="12" s="1"/>
  <c r="N29" i="12" l="1"/>
  <c r="AN29" i="12" s="1"/>
  <c r="N18" i="12"/>
  <c r="BF18" i="12" s="1"/>
  <c r="N17" i="12"/>
  <c r="BF17" i="12" s="1"/>
  <c r="N16" i="12"/>
  <c r="AN16" i="12" s="1"/>
  <c r="BF26" i="12"/>
  <c r="BA23" i="12" s="1"/>
  <c r="I15" i="28" s="1"/>
  <c r="BB23" i="12"/>
  <c r="J15" i="28" s="1"/>
  <c r="BB22" i="12"/>
  <c r="J14" i="28" s="1"/>
  <c r="AY22" i="12"/>
  <c r="AZ22" i="12" s="1"/>
  <c r="BF15" i="12"/>
  <c r="AK26" i="12"/>
  <c r="AL26" i="12"/>
  <c r="AM26" i="12"/>
  <c r="AN26" i="12"/>
  <c r="AJ26" i="12"/>
  <c r="AN23" i="12"/>
  <c r="AJ23" i="12"/>
  <c r="AL23" i="12"/>
  <c r="AK23" i="12"/>
  <c r="AM23" i="12"/>
  <c r="BF31" i="12"/>
  <c r="AJ31" i="12"/>
  <c r="AK31" i="12"/>
  <c r="AL31" i="12"/>
  <c r="AM31" i="12"/>
  <c r="AN31" i="12"/>
  <c r="BF20" i="12"/>
  <c r="AK20" i="12"/>
  <c r="AL20" i="12"/>
  <c r="AM20" i="12"/>
  <c r="AN20" i="12"/>
  <c r="AJ20" i="12"/>
  <c r="AK24" i="12"/>
  <c r="AL24" i="12"/>
  <c r="AM24" i="12"/>
  <c r="AN24" i="12"/>
  <c r="AJ24" i="12"/>
  <c r="BF22" i="12"/>
  <c r="BA22" i="12" s="1"/>
  <c r="I14" i="28" s="1"/>
  <c r="AJ22" i="12"/>
  <c r="AK22" i="12"/>
  <c r="AL22" i="12"/>
  <c r="AN22" i="12"/>
  <c r="AM22" i="12"/>
  <c r="AJ32" i="12"/>
  <c r="AK32" i="12"/>
  <c r="AL32" i="12"/>
  <c r="AN32" i="12"/>
  <c r="AM32" i="12"/>
  <c r="AJ28" i="12"/>
  <c r="AK28" i="12"/>
  <c r="AL28" i="12"/>
  <c r="AM28" i="12"/>
  <c r="AN28" i="12"/>
  <c r="BF28" i="12"/>
  <c r="AN15" i="12"/>
  <c r="N7" i="12"/>
  <c r="AL15" i="12"/>
  <c r="AK15" i="12"/>
  <c r="AJ15" i="12"/>
  <c r="AM15" i="12"/>
  <c r="N30" i="12"/>
  <c r="L10" i="11"/>
  <c r="N9" i="12" s="1"/>
  <c r="BF9" i="12" s="1"/>
  <c r="B9" i="11" l="1"/>
  <c r="AK18" i="12"/>
  <c r="AL18" i="12"/>
  <c r="AY24" i="12"/>
  <c r="AM29" i="12"/>
  <c r="AL29" i="12"/>
  <c r="AJ29" i="12"/>
  <c r="BF29" i="12"/>
  <c r="AK29" i="12"/>
  <c r="AN17" i="12"/>
  <c r="AN18" i="12"/>
  <c r="AJ16" i="12"/>
  <c r="BB21" i="12"/>
  <c r="J13" i="28" s="1"/>
  <c r="AJ18" i="12"/>
  <c r="AM16" i="12"/>
  <c r="AM18" i="12"/>
  <c r="BB24" i="12"/>
  <c r="AK17" i="12"/>
  <c r="AL17" i="12"/>
  <c r="AJ17" i="12"/>
  <c r="AM17" i="12"/>
  <c r="AK16" i="12"/>
  <c r="BF16" i="12"/>
  <c r="BA21" i="12" s="1"/>
  <c r="I13" i="28" s="1"/>
  <c r="AY21" i="12"/>
  <c r="AZ21" i="12" s="1"/>
  <c r="AL16" i="12"/>
  <c r="AL13" i="12"/>
  <c r="AJ13" i="12"/>
  <c r="AN13" i="12"/>
  <c r="AK13" i="12"/>
  <c r="AM13" i="12"/>
  <c r="BB20" i="12"/>
  <c r="J12" i="28" s="1"/>
  <c r="AY20" i="12"/>
  <c r="AZ20" i="12" s="1"/>
  <c r="BF7" i="12"/>
  <c r="BA20" i="12" s="1"/>
  <c r="AO20" i="12"/>
  <c r="AO23" i="12"/>
  <c r="BF30" i="12"/>
  <c r="AL30" i="12"/>
  <c r="AM30" i="12"/>
  <c r="AN30" i="12"/>
  <c r="AK30" i="12"/>
  <c r="AJ30" i="12"/>
  <c r="AO22" i="12"/>
  <c r="AO31" i="12"/>
  <c r="AO32" i="12"/>
  <c r="AO28" i="12"/>
  <c r="AO24" i="12"/>
  <c r="AO26" i="12"/>
  <c r="AY31" i="12" s="1"/>
  <c r="BD31" i="12" s="1"/>
  <c r="AZ23" i="12"/>
  <c r="AN9" i="12"/>
  <c r="AO15" i="12"/>
  <c r="AN7" i="12"/>
  <c r="B3" i="11"/>
  <c r="D10" i="28" s="1"/>
  <c r="C10" i="28" s="1"/>
  <c r="AM7" i="12"/>
  <c r="AJ7" i="12"/>
  <c r="AL7" i="12"/>
  <c r="AK7" i="12"/>
  <c r="AK9" i="12"/>
  <c r="AL9" i="12"/>
  <c r="AJ9" i="12"/>
  <c r="AM9" i="12"/>
  <c r="AO29" i="12" l="1"/>
  <c r="BA24" i="12"/>
  <c r="AO18" i="12"/>
  <c r="AO16" i="12"/>
  <c r="AO17" i="12"/>
  <c r="AZ31" i="12"/>
  <c r="BA31" i="12"/>
  <c r="BB31" i="12"/>
  <c r="BC31" i="12"/>
  <c r="AN43" i="12"/>
  <c r="AK43" i="12"/>
  <c r="AL43" i="12"/>
  <c r="AJ43" i="12"/>
  <c r="AM43" i="12"/>
  <c r="AO13" i="12"/>
  <c r="BB26" i="12"/>
  <c r="J18" i="28" s="1"/>
  <c r="BA26" i="12"/>
  <c r="BB30" i="12"/>
  <c r="BA30" i="12"/>
  <c r="AY30" i="12"/>
  <c r="AZ30" i="12"/>
  <c r="BC30" i="12"/>
  <c r="BD22" i="12"/>
  <c r="AO30" i="12"/>
  <c r="AY32" i="12" s="1"/>
  <c r="J16" i="28"/>
  <c r="BC29" i="12"/>
  <c r="BD24" i="12"/>
  <c r="AZ24" i="12"/>
  <c r="AZ26" i="12" s="1"/>
  <c r="BD25" i="12"/>
  <c r="BD21" i="12"/>
  <c r="BD20" i="12"/>
  <c r="BD23" i="12"/>
  <c r="AO9" i="12"/>
  <c r="AO7" i="12"/>
  <c r="AY29" i="12" l="1"/>
  <c r="AZ29" i="12"/>
  <c r="BB29" i="12"/>
  <c r="BA29" i="12"/>
  <c r="BC20" i="12"/>
  <c r="BC25" i="12"/>
  <c r="BD30" i="12"/>
  <c r="BA32" i="12"/>
  <c r="BC32" i="12"/>
  <c r="BB32" i="12"/>
  <c r="AZ32" i="12"/>
  <c r="AO43" i="12"/>
  <c r="AY18" i="12" s="1"/>
  <c r="I12" i="28"/>
  <c r="BC28" i="12"/>
  <c r="AY28" i="12"/>
  <c r="BD29" i="12"/>
  <c r="BD26" i="12"/>
  <c r="AZ28" i="12"/>
  <c r="BB28" i="12"/>
  <c r="BA28" i="12"/>
  <c r="I16" i="28"/>
  <c r="BB18" i="12" l="1"/>
  <c r="AZ18" i="12"/>
  <c r="BA18" i="12"/>
  <c r="BD32" i="12"/>
  <c r="BC18" i="12"/>
  <c r="BC22" i="12"/>
  <c r="BD28" i="12"/>
  <c r="I18" i="28"/>
  <c r="BC23" i="12"/>
  <c r="BC21" i="12"/>
  <c r="BC24" i="12"/>
  <c r="BD18" i="12" l="1"/>
  <c r="BC26" i="12"/>
  <c r="C19" i="28"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Elina Inkiläinen</author>
    <author>Omistaja</author>
  </authors>
  <commentList>
    <comment ref="C23" authorId="0" shapeId="0" xr:uid="{A5FF6105-849B-D848-B032-D785576DF45E}">
      <text>
        <r>
          <rPr>
            <sz val="10"/>
            <color rgb="FF000000"/>
            <rFont val="Tahoma"/>
            <family val="2"/>
          </rPr>
          <t xml:space="preserve">Katso: RT 85-11204  
</t>
        </r>
        <r>
          <rPr>
            <sz val="10"/>
            <color rgb="FF000000"/>
            <rFont val="Tahoma"/>
            <family val="2"/>
          </rPr>
          <t xml:space="preserve">Viherkatot ja katto- ja kansipuutarhat, kasvillisuus ja kasvualusta; Taulukko 14.
</t>
        </r>
      </text>
    </comment>
    <comment ref="C24" authorId="0" shapeId="0" xr:uid="{041A56A9-A266-2946-A7AB-5433B5C0FB7D}">
      <text>
        <r>
          <rPr>
            <sz val="10"/>
            <color rgb="FF000000"/>
            <rFont val="Calibri"/>
            <family val="2"/>
          </rPr>
          <t xml:space="preserve">Katso: RT 85-11204  
</t>
        </r>
        <r>
          <rPr>
            <sz val="10"/>
            <color rgb="FF000000"/>
            <rFont val="Calibri"/>
            <family val="2"/>
          </rPr>
          <t>Viherkatot ja katto- ja kansipuutarhat, kasvillisuus ja kasvualusta; Taulukko 14.</t>
        </r>
      </text>
    </comment>
    <comment ref="C25" authorId="0" shapeId="0" xr:uid="{91FE0E58-16CC-3F47-B902-F16BCDF7B743}">
      <text>
        <r>
          <rPr>
            <sz val="10"/>
            <color rgb="FF000000"/>
            <rFont val="Calibri"/>
            <family val="2"/>
          </rPr>
          <t xml:space="preserve">Katso: RT 85-11204  
</t>
        </r>
        <r>
          <rPr>
            <sz val="10"/>
            <color rgb="FF000000"/>
            <rFont val="Calibri"/>
            <family val="2"/>
          </rPr>
          <t>Viherkatot ja katto- ja kansipuutarhat, kasvillisuus ja kasvualusta; Taulukko 14.</t>
        </r>
      </text>
    </comment>
    <comment ref="C31" authorId="1" shapeId="0" xr:uid="{00000000-0006-0000-0500-000001000000}">
      <text>
        <r>
          <rPr>
            <sz val="9"/>
            <color rgb="FF000000"/>
            <rFont val="Tahoma"/>
            <family val="2"/>
          </rPr>
          <t>Katso: Hagelberg, E., A. Karhunen, A. Kulmala, ja R. Larsson. "Käytännön kosteikkosuunnittelu [Wetland planning in practise]." Publications of the Teho Project 1 (2009): 2009.</t>
        </r>
      </text>
    </comment>
    <comment ref="C35" authorId="1" shapeId="0" xr:uid="{00000000-0006-0000-0500-000002000000}">
      <text>
        <r>
          <rPr>
            <sz val="9"/>
            <color rgb="FF000000"/>
            <rFont val="Tahoma"/>
            <family val="2"/>
          </rPr>
          <t>Läpäisemätön pinta, jolta sadevedet kerätään, m²; Menetelminä esim. pinnankallistukset, vesikourut, painanteet</t>
        </r>
      </text>
    </comment>
    <comment ref="C36" authorId="1" shapeId="0" xr:uid="{00000000-0006-0000-0500-000003000000}">
      <text>
        <r>
          <rPr>
            <sz val="9"/>
            <color rgb="FF000000"/>
            <rFont val="Tahoma"/>
            <family val="2"/>
          </rPr>
          <t>Läpäisemätön pinta, jolta sadevedet kerätään, m²</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Omistaja</author>
  </authors>
  <commentList>
    <comment ref="B31" authorId="0" shapeId="0" xr:uid="{00000000-0006-0000-0400-000002000000}">
      <text>
        <r>
          <rPr>
            <sz val="9"/>
            <color rgb="FF000000"/>
            <rFont val="Tahoma"/>
            <family val="2"/>
          </rPr>
          <t>Katso: Hagelberg, E., A. Karhunen, A. Kulmala, ja R. Larsson. "Käytännön kosteikkosuunnittelu [Wetland planning in practise]." Publications of the Teho Project 1 (2009): 2009.</t>
        </r>
      </text>
    </comment>
  </commentList>
</comments>
</file>

<file path=xl/sharedStrings.xml><?xml version="1.0" encoding="utf-8"?>
<sst xmlns="http://schemas.openxmlformats.org/spreadsheetml/2006/main" count="1111" uniqueCount="1111">
  <si>
    <r>
      <rPr>
        <b/>
        <sz val="14"/>
        <color theme="1"/>
        <rFont val="Arial"/>
        <family val="2"/>
      </rPr>
      <t>Viktning</t>
    </r>
  </si>
  <si>
    <r>
      <rPr>
        <b/>
        <sz val="14"/>
        <rFont val="Arial"/>
        <family val="2"/>
      </rPr>
      <t>Element</t>
    </r>
  </si>
  <si>
    <r>
      <rPr>
        <b/>
        <sz val="14"/>
        <rFont val="Arial"/>
        <family val="2"/>
      </rPr>
      <t>Painotettu pinta-ala</t>
    </r>
  </si>
  <si>
    <r>
      <rPr>
        <b/>
        <sz val="16"/>
        <color theme="1"/>
        <rFont val="Arial"/>
        <family val="2"/>
      </rPr>
      <t>Grönkoefficient</t>
    </r>
  </si>
  <si>
    <r>
      <rPr>
        <b/>
        <sz val="14"/>
        <rFont val="Arial"/>
        <family val="2"/>
      </rPr>
      <t>Ekologi</t>
    </r>
  </si>
  <si>
    <r>
      <rPr>
        <b/>
        <sz val="14"/>
        <rFont val="Arial"/>
        <family val="2"/>
      </rPr>
      <t>Funktionalitet</t>
    </r>
  </si>
  <si>
    <r>
      <rPr>
        <b/>
        <sz val="14"/>
        <rFont val="Arial"/>
        <family val="2"/>
      </rPr>
      <t>Underhåll</t>
    </r>
  </si>
  <si>
    <r>
      <rPr>
        <b/>
        <sz val="12"/>
        <color theme="1"/>
        <rFont val="Arial"/>
        <family val="2"/>
      </rPr>
      <t>Avgränsningar</t>
    </r>
  </si>
  <si>
    <r>
      <rPr>
        <b/>
        <sz val="12"/>
        <rFont val="Arial"/>
        <family val="2"/>
      </rPr>
      <t>Konstruktioner för dagvattenhantering</t>
    </r>
  </si>
  <si>
    <r>
      <rPr>
        <sz val="11"/>
        <color theme="1"/>
        <rFont val="Arial"/>
        <family val="2"/>
      </rPr>
      <t>Växtlighet som ska bevaras</t>
    </r>
  </si>
  <si>
    <r>
      <rPr>
        <sz val="11"/>
        <color theme="1"/>
        <rFont val="Arial"/>
        <family val="2"/>
      </rPr>
      <t>Växtlighet som ska planteras</t>
    </r>
  </si>
  <si>
    <r>
      <rPr>
        <b/>
        <sz val="12"/>
        <rFont val="Arial"/>
        <family val="2"/>
      </rPr>
      <t>Ytbeläggningar</t>
    </r>
  </si>
  <si>
    <r>
      <rPr>
        <b/>
        <sz val="14"/>
        <rFont val="Arial"/>
        <family val="2"/>
      </rPr>
      <t>Landskapsvärde</t>
    </r>
  </si>
  <si>
    <r>
      <rPr>
        <b/>
        <sz val="14"/>
        <rFont val="Arial"/>
        <family val="2"/>
      </rPr>
      <t>Viktat medeltal</t>
    </r>
  </si>
  <si>
    <r>
      <rPr>
        <b/>
        <sz val="11"/>
        <rFont val="Arial"/>
        <family val="2"/>
      </rPr>
      <t>Delområden</t>
    </r>
  </si>
  <si>
    <r>
      <rPr>
        <b/>
        <sz val="12"/>
        <color theme="1"/>
        <rFont val="Arial"/>
        <family val="2"/>
      </rPr>
      <t>Nr</t>
    </r>
  </si>
  <si>
    <r>
      <rPr>
        <b/>
        <sz val="11"/>
        <color theme="1"/>
        <rFont val="Arial"/>
        <family val="2"/>
      </rPr>
      <t>Totalt</t>
    </r>
  </si>
  <si>
    <r>
      <rPr>
        <b/>
        <sz val="11"/>
        <color theme="1"/>
        <rFont val="Arial"/>
        <family val="2"/>
      </rPr>
      <t>Viherkertoimen muodostuminen</t>
    </r>
  </si>
  <si>
    <r>
      <rPr>
        <b/>
        <sz val="12"/>
        <rFont val="Arial"/>
        <family val="2"/>
      </rPr>
      <t>Bonuselement</t>
    </r>
  </si>
  <si>
    <r>
      <rPr>
        <i/>
        <sz val="11"/>
        <color theme="1"/>
        <rFont val="Arial"/>
        <family val="2"/>
      </rPr>
      <t>Hulevesien sidonta ja puhdistus</t>
    </r>
  </si>
  <si>
    <r>
      <rPr>
        <i/>
        <sz val="11"/>
        <color theme="1"/>
        <rFont val="Arial"/>
        <family val="2"/>
      </rPr>
      <t>Helppohoitoiset ratkaisut</t>
    </r>
  </si>
  <si>
    <r>
      <rPr>
        <b/>
        <sz val="11"/>
        <color theme="1"/>
        <rFont val="Arial"/>
        <family val="2"/>
      </rPr>
      <t>Haastattelu-painotus (1-3)</t>
    </r>
  </si>
  <si>
    <r>
      <rPr>
        <b/>
        <sz val="14"/>
        <color theme="1"/>
        <rFont val="Arial"/>
        <family val="2"/>
      </rPr>
      <t>Allmän viktning för delområdena beräknad på basis av intervjuerna med sakkunniga</t>
    </r>
  </si>
  <si>
    <r>
      <rPr>
        <i/>
        <sz val="11"/>
        <color theme="1"/>
        <rFont val="Arial"/>
        <family val="2"/>
      </rPr>
      <t>Liittyminen ympäröivään kaupunkikuvaan, vaikutus maisemaan (esim. kukat ja marjat)</t>
    </r>
  </si>
  <si>
    <r>
      <rPr>
        <b/>
        <sz val="12"/>
        <rFont val="Arial"/>
        <family val="2"/>
      </rPr>
      <t>Växtlighet som ska planteras/sås</t>
    </r>
  </si>
  <si>
    <r>
      <rPr>
        <sz val="10"/>
        <color theme="1"/>
        <rFont val="Arial"/>
        <family val="2"/>
      </rPr>
      <t>Mindre buskar som planteras har samma nytta som stora buskar som planteras, men i mindre omfattning (växtens och växtunderlagets storlek). Buskar har en särskild betydelse som livsmiljö och skyddsplats för många smådjur.</t>
    </r>
  </si>
  <si>
    <r>
      <rPr>
        <sz val="10"/>
        <color theme="1"/>
        <rFont val="Arial"/>
        <family val="2"/>
      </rPr>
      <t>En stor buske som planteras medför samma nytta som de träd som planteras, men i mindre omfattning (växtens och växtunderlagets storlek). Buskar har en särskild betydelse som livsmiljö och skyddsplats för många smådjur.</t>
    </r>
  </si>
  <si>
    <r>
      <rPr>
        <sz val="10"/>
        <color theme="1"/>
        <rFont val="Arial"/>
        <family val="2"/>
      </rPr>
      <t>Slingerväxter ger liknande fördelar för mikroklimatet och energiförbrukningen i byggnader som gröna tak.</t>
    </r>
  </si>
  <si>
    <r>
      <rPr>
        <sz val="10"/>
        <color theme="1"/>
        <rFont val="Arial"/>
        <family val="2"/>
      </rPr>
      <t>En liten buske som planteras medför samma nytta som en stor buske. Buskar kan även ha betydelse för nyttoodling.</t>
    </r>
  </si>
  <si>
    <r>
      <rPr>
        <sz val="10"/>
        <color theme="1"/>
        <rFont val="Arial"/>
        <family val="2"/>
      </rPr>
      <t>Perenner som planteras ger samma fördelar som mindre buskar som planteras.</t>
    </r>
  </si>
  <si>
    <r>
      <rPr>
        <sz val="10"/>
        <rFont val="Arial"/>
        <family val="2"/>
      </rPr>
      <t>En gräsmatta erbjuder goda möjligheter till lek. Gräsmattan har dock en liten inverkan på regleringen av mikroklimatet (storlek).</t>
    </r>
  </si>
  <si>
    <r>
      <rPr>
        <sz val="10"/>
        <color theme="1"/>
        <rFont val="Arial"/>
        <family val="2"/>
      </rPr>
      <t>Ett stort planterat träd medför samma nytta som motsvarande träd som bevaras, men nyttan realiseras ofta först om flera år. Landskapvärdet av ett träd som planteras utökas dock av möjligheten att fastställa träslag och planteringsplats i förhållande till byggnaden, vilket inte är möjligt med den växtlighet som bevaras.</t>
    </r>
  </si>
  <si>
    <r>
      <rPr>
        <sz val="10"/>
        <color theme="1"/>
        <rFont val="Arial"/>
        <family val="2"/>
      </rPr>
      <t>Ett stort planterat träd medför samma nytta som motsvarande träd som bevaras, men nyttan realiseras ofta först om flera år. Nyttan av ett planterat träd i regleringen av mikroklimatet ökar dock genom möjligheten att i förhållande till en byggnad bestämma trädslag och planteringsplats, vilket inte är möjligt med den växtlighet som ska bevaras.</t>
    </r>
  </si>
  <si>
    <r>
      <rPr>
        <sz val="10"/>
        <color theme="1"/>
        <rFont val="Arial"/>
        <family val="2"/>
      </rPr>
      <t>En mindre buske som planteras medför samma nytta som en större buske. Förutom av växtens storlek påverkas landskapsvärdet emellertid i lika stor utsträckning av artvalet, varför nyttan bedöms vara densamma.</t>
    </r>
  </si>
  <si>
    <r>
      <rPr>
        <sz val="10"/>
        <color theme="1"/>
        <rFont val="Arial"/>
        <family val="2"/>
      </rPr>
      <t>Färdiga träd som når en mindre storlek som fullvuxna medför samma nytta med tanke på landskapsvärdet som stora träd. Storleken anses vara sekundär med tanke på landskapet, eftersom det i sig är värdefullt att bevara träden. Landskapsvärdet påverkas i betydande grad av växtlighetens skick och art. Djupt rotade träd som växt i skogen (till exempel tall) anpassar sig bättre som enstaka träd än ytrotade träd (till exempel gran), som ofta förfaller när de hamnar i annorlunda växtförhållanden.</t>
    </r>
  </si>
  <si>
    <r>
      <rPr>
        <sz val="10"/>
        <rFont val="Arial"/>
        <family val="2"/>
      </rPr>
      <t>En välskött gräsmatta är snygg; om gräsmattan inte sköts minskar landskapsvärdet betydligt. Ett element som är ensidigt i förhållande till annan låg vegetation.</t>
    </r>
  </si>
  <si>
    <r>
      <rPr>
        <sz val="10"/>
        <rFont val="Arial"/>
        <family val="2"/>
      </rPr>
      <t>Samma uppskattade nytta som med slingerväxter.</t>
    </r>
  </si>
  <si>
    <r>
      <rPr>
        <sz val="10"/>
        <rFont val="Arial"/>
        <family val="2"/>
      </rPr>
      <t>Inget betydande behov av underhåll.</t>
    </r>
  </si>
  <si>
    <r>
      <rPr>
        <b/>
        <sz val="14"/>
        <color theme="1"/>
        <rFont val="Arial"/>
        <family val="2"/>
      </rPr>
      <t>Elementtyper</t>
    </r>
  </si>
  <si>
    <r>
      <rPr>
        <sz val="10"/>
        <rFont val="Arial"/>
        <family val="2"/>
      </rPr>
      <t>En halvgenomsläpplig beläggning av gräsarmeringssten är snygg och kan till sitt landskapsvärde jämföras med en gräsmatta.</t>
    </r>
  </si>
  <si>
    <r>
      <rPr>
        <sz val="10"/>
        <rFont val="Arial"/>
        <family val="2"/>
      </rPr>
      <t>Tack vare den rikliga växtligheten har den betydelse för regleringen av mikroklimatet och lärande av naturen.</t>
    </r>
  </si>
  <si>
    <r>
      <rPr>
        <sz val="10"/>
        <rFont val="Arial"/>
        <family val="2"/>
      </rPr>
      <t>Tack vare den rikliga växtligheten har den betydelse för reglering av mikroklimatet och lärande av naturen. Funktionaliteten förstärks för sin del av möjligheten till trädgårdsskötsel.</t>
    </r>
  </si>
  <si>
    <r>
      <rPr>
        <sz val="10"/>
        <color theme="1"/>
        <rFont val="Arial"/>
        <family val="2"/>
      </rPr>
      <t>Det upplevda landskapsvärdet delar åsikterna. Blomningen ökar landskapvärdet på ängar och fält; ”kontrollerad eftergift av underhåll” lämpar sig likväl inte för alla typer av markanvändning.</t>
    </r>
  </si>
  <si>
    <r>
      <rPr>
        <sz val="10"/>
        <rFont val="Arial"/>
        <family val="2"/>
      </rPr>
      <t>En välplanerad regnträdgård kan fungera som ett representativt landskapselement vars landskapvärde inte försämras av sporadisk torka. Arterna ska väljas utifrån denna utgångspunkt.</t>
    </r>
  </si>
  <si>
    <r>
      <rPr>
        <sz val="10"/>
        <rFont val="Arial"/>
        <family val="2"/>
      </rPr>
      <t>Landskapsvärdet beror på hur fördjupningen förverkligas. En typisk sänka som är försedd med grus- och grästäcke kan jämföras med landskapvärdet för elementen i fråga.</t>
    </r>
  </si>
  <si>
    <r>
      <rPr>
        <sz val="10"/>
        <rFont val="Arial"/>
        <family val="2"/>
      </rPr>
      <t>Har ingen betydelse för utjämningen av mikroklimatet. Funktionaliteten ökar genom möjligheten att placera andra funktioner ovanpå schaktet.</t>
    </r>
  </si>
  <si>
    <r>
      <rPr>
        <sz val="10"/>
        <rFont val="Arial"/>
        <family val="2"/>
      </rPr>
      <t>Ingen betydelse för landskapet</t>
    </r>
  </si>
  <si>
    <r>
      <rPr>
        <sz val="10"/>
        <rFont val="Arial"/>
        <family val="2"/>
      </rPr>
      <t>Funktionaliteten ökas av möjligheten att utnyttja dagvatten för skötsel av växtlighet.</t>
    </r>
  </si>
  <si>
    <r>
      <rPr>
        <sz val="10"/>
        <rFont val="Arial"/>
        <family val="2"/>
      </rPr>
      <t>Vattenförekomsten i olika former har stor betydelse för landskapet</t>
    </r>
  </si>
  <si>
    <r>
      <rPr>
        <sz val="10"/>
        <rFont val="Arial"/>
        <family val="2"/>
      </rPr>
      <t>Den gröna ytans slitage och de krav som mångsidigheten medför ökar behovet av underhåll.</t>
    </r>
  </si>
  <si>
    <r>
      <rPr>
        <sz val="10"/>
        <rFont val="Arial"/>
        <family val="2"/>
      </rPr>
      <t>Inget betydande landskapsvärde</t>
    </r>
  </si>
  <si>
    <r>
      <rPr>
        <b/>
        <sz val="11"/>
        <rFont val="Arial"/>
        <family val="2"/>
      </rPr>
      <t xml:space="preserve">Bonuselementit, max 1 piste/osa-alue </t>
    </r>
  </si>
  <si>
    <r>
      <rPr>
        <sz val="12"/>
        <rFont val="Arial"/>
        <family val="2"/>
      </rPr>
      <t>Områden för industriverksamhet och logistik.</t>
    </r>
  </si>
  <si>
    <r>
      <rPr>
        <sz val="12"/>
        <rFont val="Arial"/>
        <family val="2"/>
      </rPr>
      <t>Områden för handels- och affärsbyggnader</t>
    </r>
  </si>
  <si>
    <r>
      <rPr>
        <b/>
        <sz val="12"/>
        <rFont val="Arial"/>
        <family val="2"/>
      </rPr>
      <t>Vegetation och jordmån som bevaras</t>
    </r>
  </si>
  <si>
    <r>
      <rPr>
        <sz val="10"/>
        <color theme="1"/>
        <rFont val="Arial"/>
        <family val="2"/>
      </rPr>
      <t>Ett färdigt träd som når hög storlek som fullvuxet har mycket stor betydelse för utjämning och rengöring av det småskaliga klimatet och för skydd mot insyn (i synnerhet när det gäller barrträd) (11). Trädbeståndet kan också i viss mån skydda mot buller (1), om än till största delen psykologiskt (skymd sikt minskar bullrets störande effekt). Betydande också med tanke på funktionaliteten, till exempel rekreation och lärande av naturen (9). Att bevara ett träd i gott skick medför inga säkerhetsrisker, om trädets rötter och stam skyddas under byggnadsskedet. Obs! Djupt rotade träd som växt i skogen (till exempel tall) anpassar sig bättre till enstaka träd än ytrotade träd (till exempel gran), som ofta förfaller när de hamnar i annorlunda växtförhållanden.</t>
    </r>
  </si>
  <si>
    <r>
      <rPr>
        <sz val="10"/>
        <color theme="1"/>
        <rFont val="Arial"/>
        <family val="2"/>
      </rPr>
      <t>Ett färdigt träd som når hög storlek som fullvuxet har ett mycket stort landskapsvärde, eftersom det lindrar övergången från obyggd markanvändning till bebyggd mark. Stadsskogar har visat sig ha en positiv inverkan på tomtpriserna (3). Vegetation som bevaras är ofta ett viktigare landskapselement än vegetation som planteras och som behöver flera år för att bli fullvuxet och uppnå motsvarande storlek. Landskapsvärdet påverkas avsevärt av det skick i vilket växtligheten bevaras. Djupt rotade träd som växt i skogen (till exempel tall) anpassar sig bättre som enstaka träd än ytrotade träd (till exempel gran), som ofta förfaller när de hamnar i annorlunda växtförhållanden.</t>
    </r>
  </si>
  <si>
    <r>
      <rPr>
        <sz val="10"/>
        <color theme="1"/>
        <rFont val="Arial"/>
        <family val="2"/>
      </rPr>
      <t>Behov av skötsel en gång per år eller mer sällan efter att det skyddats under byggnadsfasen. Gödsling (cirka en gång per år) samt kontroll av trädets skick och gallring av farliga grenar behövs i områden där fallande träd kan medföra en säkerhetsrisk. Gulnande och glesnande kronor samt mindre löv är ofta ett tecken på försämrad hälsa. Ädla lövträd tål vanligen en hel del röta till skillnad från exempelvis björkar.</t>
    </r>
  </si>
  <si>
    <r>
      <rPr>
        <sz val="11"/>
        <color theme="1"/>
        <rFont val="Arial"/>
        <family val="2"/>
      </rPr>
      <t>3 = Stor betydelse</t>
    </r>
  </si>
  <si>
    <r>
      <rPr>
        <sz val="10"/>
        <color theme="1"/>
        <rFont val="Arial"/>
        <family val="2"/>
      </rPr>
      <t>Samma behov av skötsel som för ett stort träd som ska bevaras.</t>
    </r>
  </si>
  <si>
    <r>
      <rPr>
        <sz val="11"/>
        <color theme="1"/>
        <rFont val="Arial"/>
        <family val="2"/>
      </rPr>
      <t>2 = Hyfsad betydelse</t>
    </r>
  </si>
  <si>
    <r>
      <rPr>
        <sz val="10"/>
        <color theme="1"/>
        <rFont val="Arial"/>
        <family val="2"/>
      </rPr>
      <t>Samma nytta som med över 3 meter höga träd som ska bevaras, men i mindre omfattning. Buskar har en särskild betydelse som livsmiljö och skyddsplats för många smådjur.</t>
    </r>
  </si>
  <si>
    <r>
      <rPr>
        <sz val="10"/>
        <color theme="1"/>
        <rFont val="Arial"/>
        <family val="2"/>
      </rPr>
      <t xml:space="preserve">Samma nytta för funktionaliteten som av de över 3 meter höga träd som ska bevaras, men i mindre omfattning. Busken kan också ha betydelse med tanke på nyttoodling, till exempel om det är fråga om en bärbuske. </t>
    </r>
  </si>
  <si>
    <r>
      <rPr>
        <sz val="10"/>
        <color theme="1"/>
        <rFont val="Arial"/>
        <family val="2"/>
      </rPr>
      <t xml:space="preserve">Samma nytta med tanke på landskapsvärdet som med de träd på över 3 meter som ska bevaras, men i mindre omfattning. Landskapsvärdet påverkas avsevärt av det skick i vilket växtligheten bevaras. </t>
    </r>
  </si>
  <si>
    <r>
      <rPr>
        <sz val="10"/>
        <color theme="1"/>
        <rFont val="Arial"/>
        <family val="2"/>
      </rPr>
      <t>Underhållsbehovet är annars detsamma som för de träd på över 3 meter som ska bevaras men buskar har ett större behov av gödsling och beskärning.</t>
    </r>
  </si>
  <si>
    <r>
      <rPr>
        <sz val="11"/>
        <color theme="1"/>
        <rFont val="Arial"/>
        <family val="2"/>
      </rPr>
      <t>1 = Mindre betydelse</t>
    </r>
  </si>
  <si>
    <r>
      <rPr>
        <sz val="10"/>
        <rFont val="Arial"/>
        <family val="2"/>
      </rPr>
      <t>Vakiintuneella luonnontilaisella niityllä tai pohjakasvillisuudella on samat hyödyt kuin säilytettävillä puilla ja pensailla, mutta pienemmässä mittakaavassa. Niityllä ja luonnontilaisella pohjakasvillisuudella on erityistä merkitystä ravinnonlähteenä, elinympäristönä ja suojapaikkana monille pieneläimille. Pohjakasvillisuuden säilyttäminen on usein haastavaa, sillä kasvillisuus on tottunut tiettyihin kasvuolosuhteisiin (vrt. metsäkasvillisuus).</t>
    </r>
  </si>
  <si>
    <r>
      <rPr>
        <sz val="10"/>
        <rFont val="Arial"/>
        <family val="2"/>
      </rPr>
      <t xml:space="preserve">Ängar eller undervegetation som bevaras medför samma nytta för landskapsvärdet som buskar som bevaras. Landskapsvärdet påverkas avsevärt av det skick i vilket växtligheten bevaras.  </t>
    </r>
  </si>
  <si>
    <r>
      <rPr>
        <sz val="10"/>
        <rFont val="Arial"/>
        <family val="2"/>
      </rPr>
      <t>Betesmark, slåtter 1–2 gånger om året; behovet av underhåll av den basvegetation som bevaras kräver tilläggsutredning.</t>
    </r>
  </si>
  <si>
    <r>
      <rPr>
        <sz val="11"/>
        <color theme="1"/>
        <rFont val="Arial"/>
        <family val="2"/>
      </rPr>
      <t>0 = Ingen betydelse</t>
    </r>
  </si>
  <si>
    <r>
      <rPr>
        <b/>
        <sz val="10"/>
        <rFont val="Arial"/>
        <family val="2"/>
      </rPr>
      <t xml:space="preserve">Ett kalt berg ska bevaras </t>
    </r>
  </si>
  <si>
    <r>
      <rPr>
        <sz val="10"/>
        <rFont val="Arial"/>
        <family val="2"/>
      </rPr>
      <t>Kallio on erityisen tärkeä elinympäristö (4). Ekologisuudesta saatavia pisteitä vähentää läpäisemättömän pinnan negatiivinen merkitys hulevesien hallinnalle sekä hiilensidonnalle ja -varastoinnille. Kalliokasvillisuus on lisäksi erittäin herkkää kulumiselle, mikä vähentää sen ekologista arvoa, ellei kalliolla kulkua rajoiteta.</t>
    </r>
  </si>
  <si>
    <r>
      <rPr>
        <sz val="10"/>
        <rFont val="Arial"/>
        <family val="2"/>
      </rPr>
      <t>Funktionaliteten ökas av möjligheten till rekreation och lärande i naturen. Funktionaliteten minskas av klippväxtlighetens känslighet för slitage, och därför kan det vara nödvändigt att eventuellt skydda eller styra beträdandet (exempelvis med trappor) för att begränsa erosionen och höja säkerheten.</t>
    </r>
  </si>
  <si>
    <r>
      <rPr>
        <sz val="10"/>
        <rFont val="Arial"/>
        <family val="2"/>
      </rPr>
      <t>Behov av underhåll mer sällan än en gång om året. Eventuellt skydd eller gångled (såsom trappor) behövs för att begränsa erosionen och öka säkerheten.</t>
    </r>
  </si>
  <si>
    <r>
      <rPr>
        <sz val="10"/>
        <color theme="1"/>
        <rFont val="Arial"/>
        <family val="2"/>
      </rPr>
      <t>Behov av underhåll 1–2 gånger om året. Gödsling en gång per år, och dessutom behövs eventuellt beskärning och skydd av stammen mot växtätare.</t>
    </r>
  </si>
  <si>
    <r>
      <rPr>
        <sz val="11"/>
        <color theme="1"/>
        <rFont val="Arial"/>
        <family val="2"/>
      </rPr>
      <t>3 = Behov av underhåll mer sällan än en gång per år</t>
    </r>
  </si>
  <si>
    <r>
      <rPr>
        <sz val="10"/>
        <color theme="1"/>
        <rFont val="Arial"/>
        <family val="2"/>
      </rPr>
      <t>Samma behov av skötsel som för stora träd.</t>
    </r>
  </si>
  <si>
    <r>
      <rPr>
        <sz val="11"/>
        <color theme="1"/>
        <rFont val="Arial"/>
        <family val="2"/>
      </rPr>
      <t>2 = Behov av underhåll 1–2 gånger per år</t>
    </r>
  </si>
  <si>
    <r>
      <rPr>
        <b/>
        <sz val="10"/>
        <color theme="1"/>
        <rFont val="Arial"/>
        <family val="2"/>
      </rPr>
      <t>Stora buskar, à 3 m²; växtuderlagets djup 0,6 m</t>
    </r>
  </si>
  <si>
    <r>
      <rPr>
        <sz val="10"/>
        <color theme="1"/>
        <rFont val="Arial"/>
        <family val="2"/>
      </rPr>
      <t>En stor buske som planteras medför samma nytta som de träd som planteras, men i mindre omfattning (växtens storlek). Buskar kan även ha betydelse för nyttoodling och som avskärmning mellan gårdens funktioner.</t>
    </r>
  </si>
  <si>
    <r>
      <rPr>
        <sz val="10"/>
        <color theme="1"/>
        <rFont val="Arial"/>
        <family val="2"/>
      </rPr>
      <t>En stor buske som planteras medför samma nytta som ett litet träd som planteras, men i mindre omfattning (växtens storlek). Buskarna lämpar sig bra som avskärmning mellan gårdens olika funktioner.</t>
    </r>
  </si>
  <si>
    <r>
      <rPr>
        <sz val="10"/>
        <color theme="1"/>
        <rFont val="Arial"/>
        <family val="2"/>
      </rPr>
      <t>Behovet av skötsel är något större än för träd. Uppskattat behov av underhåll (beskärning och gödsling) 2–3 gånger om året. Dessutom kan det eventuellt behövas skydd för stammen och lövverket mot växtätare.</t>
    </r>
  </si>
  <si>
    <r>
      <rPr>
        <sz val="11"/>
        <color theme="1"/>
        <rFont val="Arial"/>
        <family val="2"/>
      </rPr>
      <t>1 = Behovet av underhåll oftare än 3 gånger per år</t>
    </r>
  </si>
  <si>
    <r>
      <rPr>
        <b/>
        <sz val="10"/>
        <color theme="1"/>
        <rFont val="Arial"/>
        <family val="2"/>
      </rPr>
      <t>Övriga buskar, à 1,5 m²; växtunderlagets djup 0,4 m</t>
    </r>
  </si>
  <si>
    <r>
      <rPr>
        <sz val="10"/>
        <color theme="1"/>
        <rFont val="Arial"/>
        <family val="2"/>
      </rPr>
      <t>Samma underhållsbehov som för stora buskar.</t>
    </r>
  </si>
  <si>
    <r>
      <rPr>
        <sz val="11"/>
        <color theme="1"/>
        <rFont val="Arial"/>
        <family val="2"/>
      </rPr>
      <t>0 = Behov av skötsel oftare än en gång i månaden</t>
    </r>
  </si>
  <si>
    <r>
      <rPr>
        <sz val="10"/>
        <color theme="1"/>
        <rFont val="Arial"/>
        <family val="2"/>
      </rPr>
      <t>Perennerna har ett likadant landskapvärde som buskar: även om perennerna är mindre, har de ofta hållbarare och synligare blomning.</t>
    </r>
  </si>
  <si>
    <r>
      <rPr>
        <sz val="10"/>
        <color theme="1"/>
        <rFont val="Arial"/>
        <family val="2"/>
      </rPr>
      <t>Välplanerad växtlighet kräver inte skötsel oftare än en gång i månaden. Behovet av skötsel och bevattning varierar dock avsevärt beroende på art, planteringsplats och regn. Uppskattat underhållsbehov i genomsnitt drygt 3 gånger per år. Gödsling och eventuellt skyddande mot växtätare behövs.</t>
    </r>
  </si>
  <si>
    <r>
      <rPr>
        <i/>
        <sz val="11"/>
        <color theme="1"/>
        <rFont val="Arial"/>
        <family val="2"/>
      </rPr>
      <t xml:space="preserve">Obs! </t>
    </r>
    <r>
      <rPr>
        <i/>
        <sz val="11"/>
        <color theme="1"/>
        <rFont val="Arial"/>
        <family val="2"/>
      </rPr>
      <t xml:space="preserve">Vid poängsättningen har kostnaderna inte beaktats (exempelvis behovet av manuellt arbete). </t>
    </r>
  </si>
  <si>
    <r>
      <rPr>
        <i/>
        <sz val="11"/>
        <color theme="1"/>
        <rFont val="Arial"/>
        <family val="2"/>
      </rPr>
      <t xml:space="preserve">Obs! </t>
    </r>
    <r>
      <rPr>
        <i/>
        <sz val="11"/>
        <color theme="1"/>
        <rFont val="Arial"/>
        <family val="2"/>
      </rPr>
      <t>Poängsättningen reduceras av bristfällig erfarenhet av underhållet av elementet i Finland</t>
    </r>
  </si>
  <si>
    <r>
      <rPr>
        <b/>
        <sz val="10"/>
        <rFont val="Arial"/>
        <family val="2"/>
      </rPr>
      <t>Odlingslotter (växtunderflagets djup beror på vilka arter som odlas, minst 0,3 m)</t>
    </r>
  </si>
  <si>
    <r>
      <rPr>
        <sz val="10"/>
        <rFont val="Arial"/>
        <family val="2"/>
      </rPr>
      <t>Odlingslotterna är mycket viktiga för funktionaliteten, eftersom de ger möjlighet till nyttoodling och lärande i naturen.</t>
    </r>
  </si>
  <si>
    <r>
      <rPr>
        <sz val="10"/>
        <rFont val="Arial"/>
        <family val="2"/>
      </rPr>
      <t>Eventuell blomning, bär och frukt ökar landskapsvärdet och variationen; odlingens säsongsbundenhet och eventuella osnygghet som orsakas av bristande skötsel minskar värdet (till exempel i jämförelse med perennerna).</t>
    </r>
  </si>
  <si>
    <r>
      <rPr>
        <sz val="10"/>
        <rFont val="Arial"/>
        <family val="2"/>
      </rPr>
      <t>Områden som lämpar sig för odling kräver ofta mycken skötsel, men invånarna ansvarar för vården. Underhållsansvaret för husbolaget är mindre än till exempel för gräsmatta.</t>
    </r>
  </si>
  <si>
    <r>
      <rPr>
        <sz val="10"/>
        <rFont val="Arial"/>
        <family val="2"/>
      </rPr>
      <t>Underhållsbehov oftare än en gång per månad. Gräsmattan kräver vanligen regelbunden klippning och gödsling samt bevattning under torra perioder.</t>
    </r>
  </si>
  <si>
    <r>
      <rPr>
        <sz val="10"/>
        <rFont val="Arial"/>
        <family val="2"/>
      </rPr>
      <t>Gröna tak är betydande för landskapet eftersom de tillför grönska där det normalt skulle finnas en ogenomtränglig yta. Gröna tak syns dessutom ofta på längre håll än exempelvis låga perenner. Gröna tak med många arter och exempelvis fetknopp (Sedum) är också mångfärgade och skapar årstidsskillnader. Ju tjockare växtunderlaget är, desto större sortiment erbjuds det av växter för plantering. Uppskattat landskapvärde för perenner.</t>
    </r>
  </si>
  <si>
    <r>
      <rPr>
        <sz val="10"/>
        <color theme="1"/>
        <rFont val="Arial"/>
        <family val="2"/>
      </rPr>
      <t>Underhållsbehov oftare än 3 gånger per år. Kräver att vattenreningssystem och växtlighet sköts och att skräp, trädplantor och snö avlägsnas (10). För att ett grönt tak i efterskott ska kunna fogas till byggnaden krävs ofta att bärkraften ökas genom strukturella ändringar.</t>
    </r>
  </si>
  <si>
    <r>
      <rPr>
        <sz val="10"/>
        <rFont val="Arial"/>
        <family val="2"/>
      </rPr>
      <t xml:space="preserve">Landskapsvärdet är detsamma som på ett tjockare grönt tak, men i mindre omfattning, eftersom det inte är möjligt att plantera lika mångsidig växtlighet på ett tungrott växtunderlag. </t>
    </r>
  </si>
  <si>
    <r>
      <rPr>
        <sz val="10"/>
        <color theme="1"/>
        <rFont val="Arial"/>
        <family val="2"/>
      </rPr>
      <t>Underhållsbehovet var detsamma som på ett tjockare grönt tak.</t>
    </r>
  </si>
  <si>
    <r>
      <rPr>
        <b/>
        <sz val="10"/>
        <rFont val="Arial"/>
        <family val="2"/>
      </rPr>
      <t>Fleråriga slingerväxter, växtunderlagets djup 0,6 m, vertikal areal (à 2 m²)</t>
    </r>
  </si>
  <si>
    <r>
      <rPr>
        <sz val="10"/>
        <rFont val="Arial"/>
        <family val="2"/>
      </rPr>
      <t>Köynnökset lisäävät vehreyttä siellä, missä normaalisti olisi läpäisemätöntä pintaa. Kukkivat/syysvärin saavat köynnökset tuovat väriä viherrakenteeseen. Arvioitu vähintään isokokoisia pensaita vastaava maisema-arvo</t>
    </r>
  </si>
  <si>
    <r>
      <rPr>
        <sz val="10"/>
        <color theme="1"/>
        <rFont val="Arial"/>
        <family val="2"/>
      </rPr>
      <t>Underhållsbehovet har bedömts motsvara buskars behov. När vissa slingerväxter växer mot byggnader kan de skada fasaderna och öka behovet av iståndsättning.</t>
    </r>
  </si>
  <si>
    <r>
      <rPr>
        <sz val="10"/>
        <rFont val="Arial"/>
        <family val="2"/>
      </rPr>
      <t>En välplanerad grön vägg medför samma beräknade nytta som slingerväxter.</t>
    </r>
  </si>
  <si>
    <r>
      <rPr>
        <sz val="10"/>
        <rFont val="Arial"/>
        <family val="2"/>
      </rPr>
      <t>Det finns inte tillräckligt med erfarenhet av gröna väggars funktion i Finland för bedömning av underhållsbehov. För att funktionerna ska kunna bevaras kan behovet av underhållsåtgärder dock vara betydande. Kräver ytterligare utredningar. Som utgångspunkt har använts en gräsmatta som kräver mycken skötsel.</t>
    </r>
  </si>
  <si>
    <r>
      <rPr>
        <sz val="10"/>
        <rFont val="Arial"/>
        <family val="2"/>
      </rPr>
      <t>Underhållsbehov oftare än 3 gånger per år. Vinterunderhåll av halvgenomträngliga ytbeläggningar innebär en utmaning (10). En stor mängd fast material eller skräp försämrar ytbeläggningens genomsläpplighet.</t>
    </r>
  </si>
  <si>
    <r>
      <rPr>
        <sz val="10"/>
        <rFont val="Arial"/>
        <family val="2"/>
      </rPr>
      <t xml:space="preserve">Behov av underhåll mer sällan än en gång om året. </t>
    </r>
  </si>
  <si>
    <r>
      <rPr>
        <sz val="10"/>
        <rFont val="Arial"/>
        <family val="2"/>
      </rPr>
      <t>En välplanerad regnträdgård lider inte av sporadisk torka. Underhållsbehovet av växtlighet och andra ytor har bedömts 1–2 gånger om året (underhållsbehovet kräver dock ytterligare utredning) (10)</t>
    </r>
  </si>
  <si>
    <r>
      <rPr>
        <b/>
        <sz val="14"/>
        <color theme="1"/>
        <rFont val="Arial"/>
        <family val="2"/>
      </rPr>
      <t>Elementtyp</t>
    </r>
  </si>
  <si>
    <r>
      <rPr>
        <sz val="10"/>
        <rFont val="Arial"/>
        <family val="2"/>
      </rPr>
      <t>Underhållsbehovet beror på genomförandesättet. En yta av gräs kan jämföras med en gräsmatta (0,5), en yta av stenmaterial underhålls mera sällan. Genomsnittligt underhållsbehov (1–2 gånger per år/en gång per månad) = 1. Kräver avlägsnande av skräp och fast materia, upprätthållande av genomsläppligheten i det filtrerade skiktet, tömning av samlat slam i brunnen (en gång per år) (10)</t>
    </r>
  </si>
  <si>
    <r>
      <rPr>
        <sz val="10"/>
        <rFont val="Arial"/>
        <family val="2"/>
      </rPr>
      <t>Det upplevda landskapsvärdet delar åsikterna. Lämpar sig för en vid samhällsstruktur där en mer ekologisk vegetation gynnas.</t>
    </r>
  </si>
  <si>
    <r>
      <rPr>
        <sz val="10"/>
        <rFont val="Arial"/>
        <family val="2"/>
      </rPr>
      <t>Våtmarksvegetationen kräver i viss mån skötsel för att bevara ett mångsidigt växtbestånd, förhindra att den blir igenvuxen och garantera att den fungerar. Rengöring av till exempel en utjämningsbassäng och avloppsfåror eller avloppsrör ska underhållas. Uppskattat behov av skötsel av växtlighet och säkerställande av konstruktionernas funktion 1–2 gånger om året; muddring med 10–15 års mellanrum. (10)</t>
    </r>
  </si>
  <si>
    <r>
      <rPr>
        <sz val="10"/>
        <color theme="1"/>
        <rFont val="Arial"/>
        <family val="2"/>
      </rPr>
      <t>Underhållsbehovet är jämförbart med underhållet av ett absorberande schakt. Omfattar till exempel spolning av täckdikningssystem och avlägsnande av fasta partiklar med sugmetoden (10).</t>
    </r>
  </si>
  <si>
    <r>
      <rPr>
        <sz val="10"/>
        <rFont val="Arial"/>
        <family val="2"/>
      </rPr>
      <t>Behovet av underhåll beror på strukturen. Kräver sannolikt att skräp avlägsnas och att vattenledande rör rengörs 1–2 gånger per år eller oftare. (10)</t>
    </r>
  </si>
  <si>
    <r>
      <rPr>
        <sz val="10"/>
        <rFont val="Arial"/>
        <family val="2"/>
      </rPr>
      <t>Uppskattat underhållsbehov 1–2 gånger om året eller oftare, beroende på vilken typ av vattenförekomst som byggs. Ofta krävs det avlägsnande av skräp och rengöring av rörledningar som leder till vattenförekomsten. (10)</t>
    </r>
  </si>
  <si>
    <r>
      <rPr>
        <sz val="10"/>
        <rFont val="Arial"/>
        <family val="2"/>
      </rPr>
      <t>Betydelse för rekreationsbruk (till exempel nyttoodling) och lärande av naturen.</t>
    </r>
  </si>
  <si>
    <r>
      <rPr>
        <b/>
        <sz val="10"/>
        <rFont val="Arial"/>
        <family val="2"/>
      </rPr>
      <t>Genomsläpplig yta för lek eller idrott (till exempel lekplatser med sand- eller grusyta, idrottplansgräs)</t>
    </r>
  </si>
  <si>
    <r>
      <rPr>
        <sz val="10"/>
        <rFont val="Arial"/>
        <family val="2"/>
      </rPr>
      <t>Ytor med flera användningsområden ökar funktionaliteten.</t>
    </r>
  </si>
  <si>
    <r>
      <rPr>
        <b/>
        <sz val="11"/>
        <color theme="1"/>
        <rFont val="Arial"/>
        <family val="2"/>
      </rPr>
      <t>Yhteensä, %</t>
    </r>
  </si>
  <si>
    <r>
      <rPr>
        <b/>
        <sz val="12"/>
        <color theme="1"/>
        <rFont val="Arial"/>
        <family val="2"/>
      </rPr>
      <t>Målnivå</t>
    </r>
  </si>
  <si>
    <r>
      <rPr>
        <b/>
        <sz val="12"/>
        <color theme="1"/>
        <rFont val="Arial"/>
        <family val="2"/>
      </rPr>
      <t>Fråga</t>
    </r>
  </si>
  <si>
    <r>
      <rPr>
        <b/>
        <sz val="12"/>
        <color theme="1"/>
        <rFont val="Arial"/>
        <family val="2"/>
      </rPr>
      <t>Svar</t>
    </r>
  </si>
  <si>
    <r>
      <rPr>
        <b/>
        <sz val="11"/>
        <color theme="1"/>
        <rFont val="Arial"/>
        <family val="2"/>
      </rPr>
      <t>Täytetty pinta-ala, m2</t>
    </r>
  </si>
  <si>
    <r>
      <rPr>
        <b/>
        <sz val="11"/>
        <color theme="1"/>
        <rFont val="Arial"/>
        <family val="2"/>
      </rPr>
      <t>Osuus kokonaispinta-alasta, %</t>
    </r>
  </si>
  <si>
    <r>
      <rPr>
        <b/>
        <sz val="11"/>
        <color theme="1"/>
        <rFont val="Arial"/>
        <family val="2"/>
      </rPr>
      <t>Täytetty lkm</t>
    </r>
  </si>
  <si>
    <r>
      <rPr>
        <b/>
        <sz val="11"/>
        <color theme="1"/>
        <rFont val="Arial"/>
        <family val="2"/>
      </rPr>
      <t>Kokonaislkm</t>
    </r>
  </si>
  <si>
    <r>
      <rPr>
        <b/>
        <sz val="11"/>
        <color theme="1"/>
        <rFont val="Arial"/>
        <family val="2"/>
      </rPr>
      <t>Osuus kokonaislkm:stä, %</t>
    </r>
  </si>
  <si>
    <r>
      <rPr>
        <b/>
        <sz val="14"/>
        <color theme="1"/>
        <rFont val="Arial"/>
        <family val="2"/>
      </rPr>
      <t>Lkm täytetty</t>
    </r>
  </si>
  <si>
    <r>
      <rPr>
        <b/>
        <sz val="24"/>
        <color theme="1"/>
        <rFont val="Arial"/>
        <family val="2"/>
      </rPr>
      <t>Resultatkort</t>
    </r>
  </si>
  <si>
    <r>
      <rPr>
        <sz val="12"/>
        <rFont val="Arial"/>
        <family val="2"/>
      </rPr>
      <t>Perenner</t>
    </r>
  </si>
  <si>
    <r>
      <rPr>
        <sz val="12"/>
        <rFont val="Arial"/>
        <family val="2"/>
      </rPr>
      <t>Äng eller fält</t>
    </r>
  </si>
  <si>
    <r>
      <rPr>
        <sz val="12"/>
        <rFont val="Arial"/>
        <family val="2"/>
      </rPr>
      <t>Gräsplan</t>
    </r>
  </si>
  <si>
    <r>
      <rPr>
        <sz val="10"/>
        <color theme="1"/>
        <rFont val="Arial"/>
        <family val="2"/>
      </rPr>
      <t>Aylor, Donald. "Noise reduction by vegetation and ground." The Journal of the Acoustical Society of America 51 (1972): 197</t>
    </r>
  </si>
  <si>
    <r>
      <rPr>
        <sz val="10"/>
        <color theme="1"/>
        <rFont val="Arial"/>
        <family val="2"/>
      </rPr>
      <t>Ferris, R., and J. W. Humphrey. "A review of potential biodiversity indicators for application in British forests." Forestry 72.4 (1999): 313-328.</t>
    </r>
  </si>
  <si>
    <r>
      <rPr>
        <sz val="10"/>
        <color theme="1"/>
        <rFont val="Arial"/>
        <family val="2"/>
      </rPr>
      <t>Meriluoto, Markku, and Timo Soininen. Värdefulla livsmiljöer för skogsnaturen. Metsälehti kustannus, 1998.</t>
    </r>
  </si>
  <si>
    <r>
      <rPr>
        <sz val="10"/>
        <color theme="1"/>
        <rFont val="Arial"/>
        <family val="2"/>
      </rPr>
      <t>Peuhu, E. and Siitonen, J. 2011. "Ontot puistopuut ovat merkittävä elinympäristö monimuotoiselle lahopuueliöstölle." (2011).</t>
    </r>
  </si>
  <si>
    <r>
      <rPr>
        <sz val="10"/>
        <color theme="1"/>
        <rFont val="Arial"/>
        <family val="2"/>
      </rPr>
      <t>Siitonen, Juha et al. "Coarse woody debris and stand characteristics in mature managed and old-growth boreal mesic forests in southern Finland." Forest Ecology and Management 128.3 (2000): 211-225.</t>
    </r>
  </si>
  <si>
    <r>
      <rPr>
        <sz val="10"/>
        <color theme="1"/>
        <rFont val="Arial"/>
        <family val="2"/>
      </rPr>
      <t>Vanha-Majamaa, Ilkka, and Jyrki Jalonen. ”Green tree retention in Fennoscandian forestry.” Scandinavian Journal of Forest Research 16. S3 (2001): 79-90.</t>
    </r>
  </si>
  <si>
    <r>
      <rPr>
        <sz val="10"/>
        <color theme="1"/>
        <rFont val="Arial"/>
        <family val="2"/>
      </rPr>
      <t>Palmberg, Irmeli E., and Jari Kuru. "Outdoor activities as a basis for environmental responsibility." The Journal of Environmental Education 31.4 (2000): 32-36.</t>
    </r>
  </si>
  <si>
    <r>
      <rPr>
        <sz val="10"/>
        <color theme="1"/>
        <rFont val="Arial"/>
        <family val="2"/>
      </rPr>
      <t>Kommunförbundets handbok för dagvatten 2012: http://www.kunnat.net/fi/asiantuntijapalvelut/yty/hulevesien_hallinta/Sivut/default.aspx</t>
    </r>
  </si>
  <si>
    <r>
      <rPr>
        <sz val="10"/>
        <color theme="1"/>
        <rFont val="Arial"/>
        <family val="2"/>
      </rPr>
      <t>Augusto, Laurent, Jacques Ranger, dan Binkley, and Andreas Rothe. ”Impact of several common tree species of European temperate forests on soil fertility.” Annals of Forest Science 59, no. 3 (2002: 233-253.</t>
    </r>
  </si>
  <si>
    <r>
      <rPr>
        <sz val="10"/>
        <color theme="1"/>
        <rFont val="Arial"/>
        <family val="2"/>
      </rPr>
      <t>Bond, W. J. ”Keystone species.” Biodiversity and ecosystem function. Springer Berlin Heidelberg, 1993. 237-253.</t>
    </r>
  </si>
  <si>
    <r>
      <rPr>
        <sz val="10"/>
        <color theme="1"/>
        <rFont val="Arial"/>
        <family val="2"/>
      </rPr>
      <t>Burgess, Stephen SO, et al. ”The redistribution of soil water by tree root systems.” Oecologi 115.3 (1998): 306-311.</t>
    </r>
  </si>
  <si>
    <r>
      <rPr>
        <sz val="10"/>
        <color theme="1"/>
        <rFont val="Arial"/>
        <family val="2"/>
      </rPr>
      <t>http://www.metsavastaa.net/ilmansaasteet</t>
    </r>
  </si>
  <si>
    <r>
      <rPr>
        <b/>
        <sz val="11"/>
        <color theme="1"/>
        <rFont val="Arial"/>
        <family val="2"/>
      </rPr>
      <t>Källor (numrerade i förklaringarna till elementen):</t>
    </r>
  </si>
  <si>
    <r>
      <rPr>
        <b/>
        <sz val="11"/>
        <rFont val="Arial"/>
        <family val="2"/>
      </rPr>
      <t>Eftersträvad nivå:</t>
    </r>
  </si>
  <si>
    <r>
      <rPr>
        <sz val="12"/>
        <rFont val="Arial"/>
        <family val="2"/>
      </rPr>
      <t>Stora buskar (à 3 m²)</t>
    </r>
  </si>
  <si>
    <r>
      <rPr>
        <sz val="12"/>
        <rFont val="Arial"/>
        <family val="2"/>
      </rPr>
      <t>Fleråriga slingerväxter (à 2 m²)</t>
    </r>
  </si>
  <si>
    <r>
      <rPr>
        <b/>
        <sz val="12"/>
        <color theme="1"/>
        <rFont val="Arial"/>
        <family val="2"/>
      </rPr>
      <t>Tomtens areal, m²</t>
    </r>
  </si>
  <si>
    <r>
      <rPr>
        <b/>
        <sz val="12"/>
        <color theme="1"/>
        <rFont val="Arial"/>
        <family val="2"/>
      </rPr>
      <t>Byggnaders täckningsyta, m ²</t>
    </r>
  </si>
  <si>
    <r>
      <rPr>
        <b/>
        <sz val="12"/>
        <color theme="1"/>
        <rFont val="Arial"/>
        <family val="2"/>
      </rPr>
      <t>Viktad areal sammanlagt, m²</t>
    </r>
  </si>
  <si>
    <r>
      <rPr>
        <b/>
        <sz val="14"/>
        <rFont val="Arial"/>
        <family val="2"/>
      </rPr>
      <t>Viktad areal, m²</t>
    </r>
  </si>
  <si>
    <r>
      <rPr>
        <b/>
        <sz val="14"/>
        <color theme="1"/>
        <rFont val="Arial"/>
        <family val="2"/>
      </rPr>
      <t>Enhet</t>
    </r>
  </si>
  <si>
    <r>
      <rPr>
        <sz val="12"/>
        <rFont val="Arial"/>
        <family val="2"/>
      </rPr>
      <t>m²</t>
    </r>
  </si>
  <si>
    <r>
      <rPr>
        <sz val="12"/>
        <color theme="1"/>
        <rFont val="Arial"/>
        <family val="2"/>
      </rPr>
      <t>st.</t>
    </r>
  </si>
  <si>
    <r>
      <rPr>
        <sz val="12"/>
        <rFont val="Arial"/>
        <family val="2"/>
      </rPr>
      <t xml:space="preserve">Övriga buskar  </t>
    </r>
  </si>
  <si>
    <r>
      <rPr>
        <sz val="12"/>
        <rFont val="Arial"/>
        <family val="2"/>
      </rPr>
      <t xml:space="preserve">Skuggande småväxt träd (à 15 m²) på byggnadens södra och sydvästra sida (särskilt lövträd) </t>
    </r>
  </si>
  <si>
    <r>
      <rPr>
        <sz val="12"/>
        <rFont val="Arial"/>
        <family val="2"/>
      </rPr>
      <t xml:space="preserve">Skuggande stora träd (à 25 m²) på byggnadens södra och sydvästra sida (särskilt lövträd) </t>
    </r>
  </si>
  <si>
    <r>
      <rPr>
        <sz val="16"/>
        <color theme="1"/>
        <rFont val="Arial Bold"/>
      </rPr>
      <t>Anvisningar om användning av verktyget</t>
    </r>
  </si>
  <si>
    <r>
      <rPr>
        <b/>
        <sz val="14"/>
        <color theme="1"/>
        <rFont val="Arial"/>
        <family val="2"/>
      </rPr>
      <t>Definition av element</t>
    </r>
  </si>
  <si>
    <r>
      <rPr>
        <sz val="10"/>
        <color theme="1"/>
        <rFont val="Arial"/>
        <family val="2"/>
      </rPr>
      <t xml:space="preserve">Nieminen, M. och Sundell, P.R. 2002. Kyläjoen eritasoliittymän perhosniittyjen uhanalaisten perhoslajien elinmahdollisuuksien selvitys ja seuranta (utredning och uppföljning av levnadsmöjligheterna för hotade fjärilsarter på fjärilsängarna i den planskilda anslutningen i Kyläjoki) 
</t>
    </r>
  </si>
  <si>
    <r>
      <rPr>
        <sz val="10"/>
        <rFont val="Arial"/>
        <family val="2"/>
      </rPr>
      <t>Nieminen, M. och Kaitila, J-P. "Saaristomeren kansallispuiston niittyjen ja hakojen perhoset.” (fjärilar på ängar och i hagar i Skärgårdshavets nationalpark) Forststyrelsens naturum, serie A: 111. (2000)</t>
    </r>
  </si>
  <si>
    <r>
      <rPr>
        <sz val="10"/>
        <color theme="1"/>
        <rFont val="Arial"/>
        <family val="2"/>
      </rPr>
      <t>Hagelberg, E., A. Karhunen, A. Kulmala, och R. Larsson. "Käytännön kosteikkosuunnittelu [Wetland planning in practise].” (praktisk våtmarksplanering) Publications of the Teho Project 1 (2009): 2009.</t>
    </r>
  </si>
  <si>
    <r>
      <rPr>
        <b/>
        <sz val="12"/>
        <rFont val="Arial"/>
        <family val="2"/>
      </rPr>
      <t>Datum</t>
    </r>
  </si>
  <si>
    <r>
      <rPr>
        <i/>
        <sz val="11"/>
        <rFont val="Arial"/>
        <family val="2"/>
      </rPr>
      <t>Kvantitativ och kvalitativ dagvattenhantering</t>
    </r>
  </si>
  <si>
    <r>
      <rPr>
        <sz val="12"/>
        <rFont val="Arial"/>
        <family val="2"/>
      </rPr>
      <t>Ekologiskt öppna berg ska bevaras (åtminstone till en del kal bergsyta, litet trädbestånd)</t>
    </r>
  </si>
  <si>
    <r>
      <rPr>
        <b/>
        <sz val="12"/>
        <rFont val="Arial"/>
        <family val="2"/>
      </rPr>
      <t>Kvartersnummer</t>
    </r>
  </si>
  <si>
    <r>
      <rPr>
        <b/>
        <sz val="12"/>
        <rFont val="Arial"/>
        <family val="2"/>
      </rPr>
      <t>Tomtnummer</t>
    </r>
  </si>
  <si>
    <r>
      <rPr>
        <b/>
        <sz val="12"/>
        <color theme="1"/>
        <rFont val="Arial"/>
        <family val="2"/>
      </rPr>
      <t>Våningsyta, m ²</t>
    </r>
  </si>
  <si>
    <r>
      <rPr>
        <b/>
        <i/>
        <sz val="11"/>
        <rFont val="Arial"/>
        <family val="2"/>
      </rPr>
      <t>Funktioner som hör till delområdena</t>
    </r>
  </si>
  <si>
    <r>
      <rPr>
        <b/>
        <sz val="11"/>
        <rFont val="Arial"/>
        <family val="2"/>
      </rPr>
      <t>Allmän viktning (1–3)</t>
    </r>
  </si>
  <si>
    <r>
      <rPr>
        <b/>
        <sz val="11"/>
        <color theme="1"/>
        <rFont val="Arial"/>
        <family val="2"/>
      </rPr>
      <t>C</t>
    </r>
  </si>
  <si>
    <r>
      <rPr>
        <sz val="12"/>
        <color theme="1"/>
        <rFont val="Arial"/>
        <family val="2"/>
      </rPr>
      <t>Ogenomtränglig yta</t>
    </r>
  </si>
  <si>
    <r>
      <rPr>
        <b/>
        <sz val="14"/>
        <color rgb="FFFF0000"/>
        <rFont val="Arial"/>
        <family val="2"/>
      </rPr>
      <t>”TO HIDE” Areal, m²</t>
    </r>
  </si>
  <si>
    <r>
      <rPr>
        <b/>
        <sz val="12"/>
        <color theme="1"/>
        <rFont val="Arial"/>
        <family val="2"/>
      </rPr>
      <t>Nederbörd mm</t>
    </r>
  </si>
  <si>
    <r>
      <rPr>
        <sz val="11"/>
        <color theme="1"/>
        <rFont val="Arial"/>
        <family val="2"/>
      </rPr>
      <t>Hulevesiratkaisun / Biosuodatusrakenteen paksuus keskisyvyys (m)</t>
    </r>
  </si>
  <si>
    <r>
      <rPr>
        <sz val="11"/>
        <color theme="1"/>
        <rFont val="Arial"/>
        <family val="2"/>
      </rPr>
      <t>-</t>
    </r>
  </si>
  <si>
    <r>
      <rPr>
        <b/>
        <sz val="14"/>
        <rFont val="Arial"/>
        <family val="2"/>
      </rPr>
      <t>Dagvatten</t>
    </r>
  </si>
  <si>
    <r>
      <rPr>
        <sz val="11"/>
        <color theme="1"/>
        <rFont val="Arial"/>
        <family val="2"/>
      </rPr>
      <t>”TO HIDE”  hela avrinningskoefficienten</t>
    </r>
  </si>
  <si>
    <r>
      <rPr>
        <sz val="11"/>
        <color theme="1"/>
        <rFont val="Arial"/>
        <family val="2"/>
      </rPr>
      <t>”TO HIDE”  avrinningskoefficienten utan bev.</t>
    </r>
  </si>
  <si>
    <r>
      <rPr>
        <sz val="10"/>
        <rFont val="Arial"/>
        <family val="2"/>
      </rPr>
      <t>Mångåriga fruktträd och bärbuskar är viktiga för mångfalden (pollinering, näringsväxter), kolbindningen och dagvattenhanteringen.</t>
    </r>
  </si>
  <si>
    <r>
      <rPr>
        <sz val="10"/>
        <rFont val="Arial"/>
        <family val="2"/>
      </rPr>
      <t xml:space="preserve">Träd som ofta blommar och bär frukt i början av växtperioden är mycket värdefulla för landskapet. De buskar som producerar bär är mycket värdefulla för landskapet. </t>
    </r>
  </si>
  <si>
    <r>
      <rPr>
        <sz val="10"/>
        <rFont val="Arial"/>
        <family val="2"/>
      </rPr>
      <t>Fruktträd och bärbuskar kräver underhåll minst två gånger per år (gödsling, beskärning) och dessutom måste de ofta skyddas mot växtätare.</t>
    </r>
  </si>
  <si>
    <r>
      <rPr>
        <b/>
        <sz val="12"/>
        <color theme="1"/>
        <rFont val="Arial"/>
        <family val="2"/>
      </rPr>
      <t>Flödeskoefficient C</t>
    </r>
  </si>
  <si>
    <r>
      <rPr>
        <sz val="10"/>
        <color rgb="FF222222"/>
        <rFont val="Arial"/>
        <family val="2"/>
      </rPr>
      <t>Tyrväinen, Liisa. ”The amenity value of the urban forest: an application of the hedonic pricing method.” Landscape and Urban planing 37.3 (1997): 211-222.</t>
    </r>
  </si>
  <si>
    <r>
      <rPr>
        <sz val="10"/>
        <color rgb="FF222222"/>
        <rFont val="Arial"/>
        <family val="2"/>
      </rPr>
      <t>Rosenvald, Raul, and Asko Lohmus. "For what, when, and where is green-tree retention better than clear-cutting? A review of the biodiversity aspects. " Forest Ecology and Management 255.1 (2008): 1-15.</t>
    </r>
  </si>
  <si>
    <r>
      <rPr>
        <sz val="10"/>
        <color rgb="FF222222"/>
        <rFont val="Arial"/>
        <family val="2"/>
      </rPr>
      <t>Kremen, Claire, and Richard S. Ostfeld. ”A call to ecologists: measuring, analyzing, and managing ecosystem services.” Frontiers in Ecology and the Environment 3.10 (2005): 540-548.</t>
    </r>
  </si>
  <si>
    <r>
      <rPr>
        <b/>
        <sz val="11"/>
        <color theme="1"/>
        <rFont val="Arial"/>
        <family val="2"/>
      </rPr>
      <t>Osuus painotetusta kokonaispinta-alasta, %</t>
    </r>
  </si>
  <si>
    <r>
      <rPr>
        <b/>
        <sz val="14"/>
        <rFont val="Arial"/>
        <family val="2"/>
      </rPr>
      <t>Avrinningskoefficient C</t>
    </r>
  </si>
  <si>
    <r>
      <rPr>
        <b/>
        <sz val="10"/>
        <color theme="1"/>
        <rFont val="Arial"/>
        <family val="2"/>
      </rPr>
      <t>Andel ogenomtränglig yta</t>
    </r>
  </si>
  <si>
    <r>
      <rPr>
        <sz val="12"/>
        <color theme="1"/>
        <rFont val="Arial"/>
        <family val="2"/>
      </rPr>
      <t>Damm, våtmarker eller strandängar med ekologisk växtlighet (minst en del av året permanent vattenyta; annan tid förblir marken fuktig)</t>
    </r>
  </si>
  <si>
    <r>
      <rPr>
        <b/>
        <sz val="10"/>
        <rFont val="Arial"/>
        <family val="2"/>
      </rPr>
      <t>Genomsläppliga ytbeläggningar (till exempel grus- och sandytor)</t>
    </r>
  </si>
  <si>
    <r>
      <rPr>
        <sz val="10"/>
        <color theme="1"/>
        <rFont val="Arial"/>
        <family val="2"/>
      </rPr>
      <t>Ett färdigt litet träd medför samma nytta som ett stort träd, men i mindre omfattning.</t>
    </r>
  </si>
  <si>
    <r>
      <rPr>
        <sz val="10"/>
        <color theme="1"/>
        <rFont val="Arial"/>
        <family val="2"/>
      </rPr>
      <t xml:space="preserve">Samat hyödyt kuin säilytettävillä yli 3-metrisillä puilla, mutta pienemmässä mittakaavassa. </t>
    </r>
  </si>
  <si>
    <r>
      <rPr>
        <sz val="10"/>
        <rFont val="Arial"/>
        <family val="2"/>
      </rPr>
      <t>Permanent ängsmark eller undervegetation i naturtillstånd medför samma nytta som träd och buskar som bevaras, men i mindre omfattning.</t>
    </r>
  </si>
  <si>
    <r>
      <rPr>
        <sz val="10"/>
        <color theme="1"/>
        <rFont val="Arial"/>
        <family val="2"/>
      </rPr>
      <t>En stor buske som planteras medför samma nytta som de träd som planteras, men i mindre omfattning (växtens och växtunderlagets storlek).</t>
    </r>
  </si>
  <si>
    <r>
      <rPr>
        <sz val="10"/>
        <color theme="1"/>
        <rFont val="Arial"/>
        <family val="2"/>
      </rPr>
      <t>En mindre buske som planteras medför samma nytta som en stor buske som planteras, men i mindre omfattning (växtens och växtunderlagets storlek).</t>
    </r>
  </si>
  <si>
    <r>
      <rPr>
        <sz val="10"/>
        <color theme="1"/>
        <rFont val="Arial"/>
        <family val="2"/>
      </rPr>
      <t>De perenner som planteras ger samma fördelar som elementet ”Övriga buskar”, men behöver ofta ett större växtunderlag.</t>
    </r>
  </si>
  <si>
    <r>
      <rPr>
        <sz val="10"/>
        <rFont val="Arial"/>
        <family val="2"/>
      </rPr>
      <t>Medelmåttig betydelse för dagvattenhanteringen.</t>
    </r>
  </si>
  <si>
    <r>
      <rPr>
        <sz val="10"/>
        <rFont val="Arial"/>
        <family val="2"/>
      </rPr>
      <t>Gräsmattan har betydelse för dagvattenhanteringen, men i mindre utsträckning än till exempel perennerna (växternas och växtunderlagets storlek)</t>
    </r>
  </si>
  <si>
    <r>
      <rPr>
        <sz val="10"/>
        <rFont val="Arial"/>
        <family val="2"/>
      </rPr>
      <t>En grön vägg, som inte är kopplad till ett växtunderlag, har mindre betydelse för dagvattenhanteringen än slingerväxterna. Kräver en tilläggsutredning.</t>
    </r>
  </si>
  <si>
    <r>
      <rPr>
        <sz val="10"/>
        <rFont val="Arial"/>
        <family val="2"/>
      </rPr>
      <t>Den gröna väggens ekologiska värde beror på anläggningssätt och läge. Kräver en tilläggsutredning.</t>
    </r>
  </si>
  <si>
    <r>
      <rPr>
        <sz val="10"/>
        <rFont val="Arial"/>
        <family val="2"/>
      </rPr>
      <t>En halvgenomsläpplig yta med avdunstning och kolbindande vegetation lämpar sig relativt väl för dagvattenhanteringen (10).</t>
    </r>
  </si>
  <si>
    <r>
      <rPr>
        <sz val="10"/>
        <rFont val="Arial"/>
        <family val="2"/>
      </rPr>
      <t>Mindre betydelse för mångfald och kolbindning än regnträdgårdens.</t>
    </r>
  </si>
  <si>
    <r>
      <rPr>
        <sz val="10"/>
        <color theme="1"/>
        <rFont val="Arial"/>
        <family val="2"/>
      </rPr>
      <t xml:space="preserve">Erittäin suuri merkitys hulevesien määrälliselle ja laadulliselle hallinnalle (10). </t>
    </r>
  </si>
  <si>
    <r>
      <rPr>
        <sz val="10"/>
        <rFont val="Arial"/>
        <family val="2"/>
      </rPr>
      <t>Ingen betydelse för mångfalden och kolbindningen. Å andra sidan frigörs utrymme för växtlighet eller annan användning av markytan.</t>
    </r>
  </si>
  <si>
    <r>
      <rPr>
        <sz val="10"/>
        <rFont val="Arial"/>
        <family val="2"/>
      </rPr>
      <t xml:space="preserve">Pienempi merkitys pienvesien virtaamien tasaamisessa ja eroosion ehkäisyssä kuin imeytyspainanteella. </t>
    </r>
  </si>
  <si>
    <r>
      <rPr>
        <sz val="10"/>
        <color theme="1"/>
        <rFont val="Arial"/>
        <family val="2"/>
      </rPr>
      <t>Lika betydande för regleringen av mikroklimatet och lärandet av naturen som en regnträdgård.</t>
    </r>
  </si>
  <si>
    <r>
      <rPr>
        <sz val="10"/>
        <rFont val="Arial"/>
        <family val="2"/>
      </rPr>
      <t>Betydelse särskilt för mångfalden, men också för kolbindningen.</t>
    </r>
  </si>
  <si>
    <r>
      <rPr>
        <sz val="10"/>
        <rFont val="Arial"/>
        <family val="2"/>
      </rPr>
      <t>Stora träd som planteras medför samma nytta som motsvarande träd som planteras, men nyttan realiseras ofta först om flera år.</t>
    </r>
  </si>
  <si>
    <r>
      <rPr>
        <sz val="10"/>
        <rFont val="Arial"/>
        <family val="2"/>
      </rPr>
      <t>Ett litet träd som planteras medför samma nytta som ett stort träd som planteras, men i mindre omfattning (växtens och växtunderlagets storlek).</t>
    </r>
  </si>
  <si>
    <r>
      <rPr>
        <sz val="10"/>
        <rFont val="Arial"/>
        <family val="2"/>
      </rPr>
      <t>En mindre buske som planteras medför samma nytta som en stor buske som planteras, men i mindre omfattning (växtens och växtunderlagets storlek).</t>
    </r>
  </si>
  <si>
    <r>
      <rPr>
        <sz val="10"/>
        <rFont val="Arial"/>
        <family val="2"/>
      </rPr>
      <t>Betydelse för kolbindning och mångfald.</t>
    </r>
  </si>
  <si>
    <r>
      <rPr>
        <sz val="10"/>
        <color theme="1"/>
        <rFont val="Arial"/>
        <family val="2"/>
      </rPr>
      <t>Ett färdigt träd, som når hög storlek som fullvuxet, har mycket stor betydelse för hanteringen av dagvatten tack vare det vatten som binds av rotsystemet och regnvattnet (interceptionsavdunstning) som lagras i kronan (11).</t>
    </r>
  </si>
  <si>
    <r>
      <rPr>
        <sz val="10"/>
        <rFont val="Arial"/>
        <family val="2"/>
      </rPr>
      <t>Er absorptionssänka lämpar sig väl för att hantera mängden dagvatten och dess kvalitet (10).</t>
    </r>
  </si>
  <si>
    <r>
      <rPr>
        <b/>
        <sz val="10"/>
        <color theme="1"/>
        <rFont val="Arial"/>
        <family val="2"/>
      </rPr>
      <t>Biosuodatuspainanne tai -allas</t>
    </r>
  </si>
  <si>
    <r>
      <rPr>
        <sz val="10"/>
        <rFont val="Arial"/>
        <family val="2"/>
      </rPr>
      <t>Samma funktioner som hos en regnträdgård, våtmarker eller en absorberande sänka.</t>
    </r>
  </si>
  <si>
    <r>
      <rPr>
        <sz val="10"/>
        <rFont val="Arial"/>
        <family val="2"/>
      </rPr>
      <t xml:space="preserve">Potentialen för dagvattenhantering är densamma som för tjockare gröna tak, men i mindre omfattning på grund av att växtunderlaget är tunnare. </t>
    </r>
  </si>
  <si>
    <r>
      <rPr>
        <sz val="10"/>
        <rFont val="Arial"/>
        <family val="2"/>
      </rPr>
      <t>Gröna tak kan i fråga om dagvattenhanteringen jämföras med låg vegetation som gräs. Gröntaket på en tillväxtplattform som är mer än 0,3 meter djup är dock mer betydande för dagvattenhanteringen än en gräsmatta (0,05–0,2 m växtunderlag). Lämpar sig väl för hantering av en viss mängd dagvatten (10).</t>
    </r>
  </si>
  <si>
    <r>
      <rPr>
        <sz val="10"/>
        <color theme="1"/>
        <rFont val="Arial"/>
        <family val="2"/>
      </rPr>
      <t>Det växtunderlag som ängar kräver är tunnare än för perenner och därför är dess betydelse för dagvattenhanteringen mindre.</t>
    </r>
  </si>
  <si>
    <r>
      <rPr>
        <sz val="10"/>
        <rFont val="Arial"/>
        <family val="2"/>
      </rPr>
      <t>Landskapsvärdet är detsamma som för tjockare gröna tak, men i mindre omfattning. Trots allt inte så stor skillnad att den påverkar viktningen.</t>
    </r>
  </si>
  <si>
    <r>
      <rPr>
        <sz val="10"/>
        <rFont val="Arial"/>
        <family val="2"/>
      </rPr>
      <t xml:space="preserve">Funktionaliteten är densamma som med tjockare gröna tak, men i mindre omfattning. Trots allt inte så stor skillnad att den påverkar viktningen. </t>
    </r>
  </si>
  <si>
    <r>
      <rPr>
        <sz val="10"/>
        <rFont val="Arial"/>
        <family val="2"/>
      </rPr>
      <t>Gröna tak minskar byggnadernas energiförbrukning och därmed växthusgasutsläppen. Gröna tak erbjuder livsmiljöer och näring bland annat för olika insektarter och fåglar som använder dem som föda.</t>
    </r>
  </si>
  <si>
    <r>
      <rPr>
        <b/>
        <sz val="10"/>
        <rFont val="Arial"/>
        <family val="2"/>
      </rPr>
      <t>Halvgenomsläppliga ytbeläggningar (till exempel gräsarmeringssten, stenmjöl, växtunderlag 0,3 m)</t>
    </r>
  </si>
  <si>
    <r>
      <rPr>
        <sz val="10"/>
        <rFont val="Arial"/>
        <family val="2"/>
      </rPr>
      <t xml:space="preserve">Funktionaliteten är densamma som på ett tjockare grönt tak, men i mindre omfattning, eftersom det inte är möjligt att plantera lika mångsidig växtlighet på ett tunnare växtunderlag. </t>
    </r>
  </si>
  <si>
    <r>
      <rPr>
        <sz val="10"/>
        <rFont val="Arial"/>
        <family val="2"/>
      </rPr>
      <t>Gröna tak kan i fråga om funktionalitet jämföras med låg vegetation såsom gräsmark. Gröntaken erbjuder till exempel möjligheter till nyttoodling och minskar luftföroreningarna.</t>
    </r>
  </si>
  <si>
    <r>
      <rPr>
        <sz val="10"/>
        <rFont val="Arial"/>
        <family val="2"/>
      </rPr>
      <t>En genomsläpplig sand- och grusyta är problemfri och kräver inte mycket underhåll för att se snygg ut. Ett ogynnsamt element med tanke på grönstrukturen, eftersom det minskar tomtens grönska.</t>
    </r>
  </si>
  <si>
    <r>
      <rPr>
        <sz val="10"/>
        <rFont val="Arial"/>
        <family val="2"/>
      </rPr>
      <t>Bättre genomsläpplighet för dagvattnet än med gräsarmeringssten, men i allmänhet mindre än i de ekologiska växtunderlag som bevaras.</t>
    </r>
  </si>
  <si>
    <r>
      <rPr>
        <sz val="10"/>
        <rFont val="Arial"/>
        <family val="2"/>
      </rPr>
      <t>Ett kalt berg är i allmänhet ogenomträngligt och ökar därmed avrinningskoefficienten och samtidigt dagvattenmängden.</t>
    </r>
  </si>
  <si>
    <r>
      <rPr>
        <b/>
        <sz val="11"/>
        <color theme="1"/>
        <rFont val="Arial"/>
        <family val="2"/>
      </rPr>
      <t>Att observera:</t>
    </r>
  </si>
  <si>
    <r>
      <rPr>
        <b/>
        <sz val="11"/>
        <color theme="1"/>
        <rFont val="Arial"/>
        <family val="2"/>
      </rPr>
      <t>Kommentarer av den som fyller i anmälan:</t>
    </r>
  </si>
  <si>
    <r>
      <rPr>
        <sz val="11"/>
        <rFont val="Arial"/>
        <family val="2"/>
      </rPr>
      <t>Fördröjning och fördämning</t>
    </r>
  </si>
  <si>
    <r>
      <rPr>
        <sz val="11"/>
        <rFont val="Arial"/>
        <family val="2"/>
      </rPr>
      <t>Biofiltrering</t>
    </r>
  </si>
  <si>
    <r>
      <rPr>
        <sz val="11"/>
        <rFont val="Arial"/>
        <family val="2"/>
      </rPr>
      <t>I fliken RESULTAT skrivs ”saker som bör beaktas” ut:</t>
    </r>
  </si>
  <si>
    <r>
      <rPr>
        <sz val="11"/>
        <rFont val="Arial"/>
        <family val="2"/>
      </rPr>
      <t>I fliken AVGRÄNSNINGAR skrivs ”saker som bör beaktas” ut:</t>
    </r>
  </si>
  <si>
    <r>
      <rPr>
        <sz val="11"/>
        <rFont val="Arial"/>
        <family val="2"/>
      </rPr>
      <t>I fliken GRÖNKOEFFICIENTEN skrivs ”saker som bör beaktas” ut (som hänför sig till element):</t>
    </r>
  </si>
  <si>
    <r>
      <rPr>
        <b/>
        <sz val="14"/>
        <color theme="1"/>
        <rFont val="Arial"/>
        <family val="2"/>
      </rPr>
      <t>Element som ingår i planen</t>
    </r>
  </si>
  <si>
    <r>
      <rPr>
        <b/>
        <sz val="12"/>
        <rFont val="Arial"/>
        <family val="2"/>
      </rPr>
      <t>Personens namn</t>
    </r>
  </si>
  <si>
    <r>
      <rPr>
        <b/>
        <sz val="12"/>
        <color theme="1"/>
        <rFont val="Arial"/>
        <family val="2"/>
      </rPr>
      <t>Objektets namn (adress)</t>
    </r>
  </si>
  <si>
    <r>
      <rPr>
        <b/>
        <sz val="12"/>
        <color theme="0"/>
        <rFont val="Arial"/>
        <family val="2"/>
      </rPr>
      <t>Beräkning av medeldjupet för lösningen av dagvattenhanteringen</t>
    </r>
  </si>
  <si>
    <r>
      <rPr>
        <i/>
        <sz val="12"/>
        <rFont val="Arial"/>
        <family val="2"/>
      </rPr>
      <t>exempelvis ett lager ovanför den permanenta vattenytan (och expansionsröret) hos fördröjnings- eller fördämningskonstruktionen; ett fördämningsområde som bildas ovanför biofiltreringskonstruktionens växtunderlag</t>
    </r>
  </si>
  <si>
    <r>
      <rPr>
        <b/>
        <sz val="12"/>
        <color theme="1"/>
        <rFont val="Arial"/>
        <family val="2"/>
      </rPr>
      <t>Kvarterets/tomtens areal, m²</t>
    </r>
  </si>
  <si>
    <r>
      <rPr>
        <b/>
        <sz val="12"/>
        <color theme="1"/>
        <rFont val="Arial"/>
        <family val="2"/>
      </rPr>
      <t>Byggnadernas täckningsyta i förhållande till arealen</t>
    </r>
  </si>
  <si>
    <r>
      <rPr>
        <b/>
        <sz val="12"/>
        <color theme="1"/>
        <rFont val="Arial"/>
        <family val="2"/>
      </rPr>
      <t>Våningsytans förhållande till arealen (effektivitetstalet)</t>
    </r>
  </si>
  <si>
    <r>
      <rPr>
        <sz val="12"/>
        <color rgb="FF7F7F7F"/>
        <rFont val="Arial"/>
        <family val="2"/>
      </rPr>
      <t xml:space="preserve"> -</t>
    </r>
  </si>
  <si>
    <r>
      <rPr>
        <b/>
        <sz val="12"/>
        <rFont val="Arial"/>
        <family val="2"/>
      </rPr>
      <t xml:space="preserve">Objektets namn (adress) </t>
    </r>
  </si>
  <si>
    <r>
      <rPr>
        <b/>
        <sz val="12"/>
        <color theme="1"/>
        <rFont val="Arial"/>
        <family val="2"/>
      </rPr>
      <t>Faktorer som beaktas vid beräkningen</t>
    </r>
  </si>
  <si>
    <r>
      <rPr>
        <sz val="11"/>
        <color rgb="FFFF0000"/>
        <rFont val="Arial"/>
        <family val="2"/>
      </rPr>
      <t xml:space="preserve">dolt område, ingen låsning för att logiken ska funktionera. </t>
    </r>
  </si>
  <si>
    <r>
      <rPr>
        <b/>
        <sz val="12"/>
        <color rgb="FFD88C78"/>
        <rFont val="Arial"/>
        <family val="2"/>
      </rPr>
      <t>Anvisningar</t>
    </r>
  </si>
  <si>
    <r>
      <rPr>
        <b/>
        <sz val="12"/>
        <color rgb="FFD88C78"/>
        <rFont val="Arial"/>
        <family val="2"/>
      </rPr>
      <t>Nästa</t>
    </r>
  </si>
  <si>
    <r>
      <rPr>
        <sz val="11"/>
        <color theme="1"/>
        <rFont val="Arial Bold"/>
      </rPr>
      <t>Börja</t>
    </r>
  </si>
  <si>
    <r>
      <rPr>
        <sz val="12"/>
        <color theme="1"/>
        <rFont val="Arial"/>
        <family val="2"/>
      </rPr>
      <t>Föregående</t>
    </r>
  </si>
  <si>
    <r>
      <rPr>
        <sz val="12"/>
        <color theme="1"/>
        <rFont val="Arial"/>
        <family val="2"/>
      </rPr>
      <t>Mer</t>
    </r>
  </si>
  <si>
    <r>
      <rPr>
        <sz val="11"/>
        <rFont val="Calibri"/>
        <family val="2"/>
      </rPr>
      <t>i</t>
    </r>
  </si>
  <si>
    <r>
      <rPr>
        <sz val="11"/>
        <color theme="1"/>
        <rFont val="Arial"/>
        <family val="2"/>
      </rPr>
      <t>Tillbaka</t>
    </r>
  </si>
  <si>
    <r>
      <rPr>
        <sz val="11"/>
        <color theme="1"/>
        <rFont val="Arial"/>
        <family val="2"/>
      </rPr>
      <t>Tillbaka Grönkoefficienten</t>
    </r>
  </si>
  <si>
    <r>
      <rPr>
        <sz val="10"/>
        <rFont val="Arial"/>
        <family val="2"/>
      </rPr>
      <t>Ekologin är densamma som på tjockare gröna tak, men i mindre omfattning.</t>
    </r>
  </si>
  <si>
    <r>
      <rPr>
        <sz val="10"/>
        <color theme="1"/>
        <rFont val="Arial"/>
        <family val="2"/>
      </rPr>
      <t>Lika betydande för kolbindning och biologisk mångfald som en fördröjnings- eller uppehållsbassäng.</t>
    </r>
  </si>
  <si>
    <r>
      <rPr>
        <sz val="12"/>
        <color theme="1"/>
        <rFont val="Arial"/>
        <family val="2"/>
      </rPr>
      <t>Tryck eller bassäng för biofiltrering (till exempel vägtryck)</t>
    </r>
  </si>
  <si>
    <r>
      <rPr>
        <sz val="10"/>
        <color theme="1"/>
        <rFont val="Arial"/>
        <family val="2"/>
      </rPr>
      <t>Slingerväxter är ur ekologisk synvinkel jämförbara med stora buskar.</t>
    </r>
  </si>
  <si>
    <r>
      <rPr>
        <b/>
        <sz val="12"/>
        <color theme="1"/>
        <rFont val="Arial"/>
        <family val="2"/>
      </rPr>
      <t>Planerad markanvändning</t>
    </r>
  </si>
  <si>
    <r>
      <rPr>
        <sz val="11"/>
        <color theme="1"/>
        <rFont val="Arial"/>
        <family val="2"/>
      </rPr>
      <t>RESULTAT: fördröjs inte, m3:</t>
    </r>
  </si>
  <si>
    <r>
      <rPr>
        <sz val="11"/>
        <rFont val="Arial"/>
        <family val="2"/>
      </rPr>
      <t>Översyn av dagvattenstrukturen och observationer:</t>
    </r>
  </si>
  <si>
    <r>
      <rPr>
        <sz val="12"/>
        <rFont val="Arial"/>
        <family val="2"/>
      </rPr>
      <t>Fördröjningsschakt eller fördröjningsbehållare (underjordisk, Obs! Enheten är volym!)</t>
    </r>
  </si>
  <si>
    <r>
      <rPr>
        <b/>
        <sz val="12"/>
        <color theme="1"/>
        <rFont val="Arial"/>
        <family val="2"/>
      </rPr>
      <t>1) Förflyttning mellan sidorna</t>
    </r>
  </si>
  <si>
    <r>
      <rPr>
        <b/>
        <sz val="12"/>
        <color theme="1"/>
        <rFont val="Arial"/>
        <family val="2"/>
      </rPr>
      <t>2) Avgränsningar</t>
    </r>
  </si>
  <si>
    <r>
      <rPr>
        <b/>
        <sz val="12"/>
        <color theme="1"/>
        <rFont val="Arial"/>
        <family val="2"/>
      </rPr>
      <t>3) Grönkoefficienten</t>
    </r>
  </si>
  <si>
    <r>
      <rPr>
        <b/>
        <sz val="12"/>
        <color theme="1"/>
        <rFont val="Arial"/>
        <family val="2"/>
      </rPr>
      <t>4) Beräkning av dagvattenmängden</t>
    </r>
  </si>
  <si>
    <r>
      <rPr>
        <sz val="10"/>
        <color theme="1"/>
        <rFont val="Arial"/>
        <family val="2"/>
      </rPr>
      <t>Slingerväxter tillför grönska där det normalt skulle finnas en ogenomtränglig yta. Slingerväxter som får blommor/höstfärg ger färg till grönstrukturen. Uppskattat landskapsvärde som motsvarar minst stora buskar.</t>
    </r>
  </si>
  <si>
    <r>
      <rPr>
        <sz val="12"/>
        <rFont val="Arial"/>
        <family val="2"/>
      </rPr>
      <t>Genomsläpplig yta för lek eller sport (såsom lekplatser med sand-, flis- eller grusyta, sportgräsplaner)</t>
    </r>
  </si>
  <si>
    <r>
      <rPr>
        <sz val="11"/>
        <rFont val="Arial"/>
        <family val="2"/>
      </rPr>
      <t>Bilder: Mari Ariluoma, Eeva Eitsi, Elisa Lähde, Caroline Moinel, Suvi Tyynilä</t>
    </r>
  </si>
  <si>
    <r>
      <rPr>
        <b/>
        <sz val="12"/>
        <rFont val="Arial"/>
        <family val="2"/>
      </rPr>
      <t>Planerade dagvattenlösningar</t>
    </r>
  </si>
  <si>
    <r>
      <rPr>
        <sz val="11"/>
        <color theme="1"/>
        <rFont val="Arial"/>
        <family val="2"/>
      </rPr>
      <t>viivytystilavuustarve m3/m2</t>
    </r>
  </si>
  <si>
    <r>
      <rPr>
        <sz val="12"/>
        <rFont val="Arial"/>
        <family val="2"/>
      </rPr>
      <t>Ekologisk undervegetation som ska bevaras</t>
    </r>
  </si>
  <si>
    <r>
      <rPr>
        <sz val="12"/>
        <color theme="1"/>
        <rFont val="Arial"/>
        <family val="2"/>
      </rPr>
      <t>Markyta och växtlighet som ska bevaras på bebyggt område (till exempel gräsplan)</t>
    </r>
  </si>
  <si>
    <r>
      <rPr>
        <sz val="12"/>
        <color theme="1"/>
        <rFont val="Arial"/>
        <family val="2"/>
      </rPr>
      <t>Råhumus el. mår</t>
    </r>
  </si>
  <si>
    <r>
      <rPr>
        <sz val="11"/>
        <color theme="1"/>
        <rFont val="Arial"/>
        <family val="2"/>
      </rPr>
      <t>Gröna tak och fasadvegetation</t>
    </r>
  </si>
  <si>
    <r>
      <rPr>
        <b/>
        <sz val="12"/>
        <rFont val="Arial"/>
        <family val="2"/>
      </rPr>
      <t>Gröna tak och fasadväxtlighet</t>
    </r>
  </si>
  <si>
    <r>
      <rPr>
        <b/>
        <sz val="10"/>
        <rFont val="Arial"/>
        <family val="2"/>
      </rPr>
      <t>Insamling av regnvatten för bevattning</t>
    </r>
  </si>
  <si>
    <r>
      <rPr>
        <sz val="11"/>
        <color theme="0"/>
        <rFont val="Arial"/>
        <family val="2"/>
      </rPr>
      <t>ä.öl</t>
    </r>
  </si>
  <si>
    <r>
      <rPr>
        <b/>
        <sz val="10"/>
        <rFont val="Arial"/>
        <family val="2"/>
      </rPr>
      <t>Puoliläpäisevät pinnoitteet (esim. nurmikivi ja kivituhka)</t>
    </r>
  </si>
  <si>
    <r>
      <rPr>
        <sz val="12"/>
        <rFont val="Arial"/>
        <family val="2"/>
      </rPr>
      <t>Odlingslotter och odlingslådor</t>
    </r>
  </si>
  <si>
    <r>
      <rPr>
        <i/>
        <sz val="11"/>
        <color theme="1"/>
        <rFont val="Arial"/>
        <family val="2"/>
      </rPr>
      <t>Hiilensidonta ja -varastointi, lajien ja elinympäristöjen monimuotoisuus, ekologinen verkosto, pienilmaston tasaaminen ja puhdistus (viilentäminen, ilman epäpuhtauksien sidonta, melun ja tuulisuuden vähentäminen, näkösuoja)</t>
    </r>
  </si>
  <si>
    <r>
      <rPr>
        <i/>
        <sz val="11"/>
        <color theme="1"/>
        <rFont val="Arial"/>
        <family val="2"/>
      </rPr>
      <t>Ruoantuotanto hyötyviljelyllä, oppiminen luonnosta, leikkiminen, turvallisuus</t>
    </r>
  </si>
  <si>
    <r>
      <rPr>
        <sz val="10"/>
        <rFont val="Arial"/>
        <family val="2"/>
      </rPr>
      <t>Genom bevarande av ytlig mark säkerställs det att det kollager och de markorganismer som ackumulerats i marken bevaras. Gamla gräsplaner som utvecklats till att omfatta många arter har en betydligt större betydelse för mångfalden än nyinrättade intensivt skötta gräsplaner.</t>
    </r>
  </si>
  <si>
    <r>
      <rPr>
        <sz val="10"/>
        <rFont val="Arial"/>
        <family val="2"/>
      </rPr>
      <t>Samma fördelar för verksamheten som för anlagd gräsmatta.</t>
    </r>
  </si>
  <si>
    <r>
      <rPr>
        <sz val="10"/>
        <rFont val="Arial"/>
        <family val="2"/>
      </rPr>
      <t>Den ursprungliga ytformen på tomten och särskilt en gammal gräsplan har ett landskapsmässigt värde. Värdet på landskapet påverkas i betydande grad av växtlighetens skick.</t>
    </r>
  </si>
  <si>
    <r>
      <rPr>
        <sz val="10"/>
        <rFont val="Arial"/>
        <family val="2"/>
      </rPr>
      <t>Behovet av underhåll och vård är detsamma som för en gräsmatta, men det behövs ingen period av effektivare skötsel i anläggningsskedet.</t>
    </r>
  </si>
  <si>
    <r>
      <rPr>
        <sz val="10"/>
        <rFont val="Arial"/>
        <family val="2"/>
      </rPr>
      <t xml:space="preserve">Samma nytta som av en anlagd gräsmatta. </t>
    </r>
  </si>
  <si>
    <r>
      <rPr>
        <sz val="10"/>
        <rFont val="Arial"/>
        <family val="2"/>
      </rPr>
      <t>Samma nytta för verksamheten som av de träd och buskar som bevaras, men i mindre omfattning. Eventuell känslighet för slitage minskar funktionaliteten.</t>
    </r>
  </si>
  <si>
    <r>
      <rPr>
        <sz val="10"/>
        <rFont val="Arial"/>
        <family val="2"/>
      </rPr>
      <t>Landskapsvärdet av en kal klippa är betydande. Bergets landskapvärde kan inte artificiellt återskapas efteråt, och därför bör det alltid bevaras i landskapet när det är möjligt.</t>
    </r>
  </si>
  <si>
    <r>
      <rPr>
        <sz val="10"/>
        <color theme="1"/>
        <rFont val="Arial"/>
        <family val="2"/>
      </rPr>
      <t>De perenner som planteras ger samma fördelar som elementet ”Övriga buskar”, men de är ofta förknippade med ett större växtunderlag. Perennerna ger näring, livsmiljöer och skyddsplatser för många smådjur.</t>
    </r>
  </si>
  <si>
    <r>
      <rPr>
        <sz val="10"/>
        <rFont val="Arial"/>
        <family val="2"/>
      </rPr>
      <t>Niityt ja kedot (kuivat niityt) ovat luonnonmukaisempi (vähemmän hoitoa vaativa) ja monilajisempi vaihtoehto nurmikolle. Kokonaisuudessaan samansuuruinen ekologinen merkitys kuin perennoilla. Niityllä on erityistä merkitystä monimuotoisuudelle mm. pölyttäjiä houkuttelevien kukkivien kasvien ansiosta (13).</t>
    </r>
  </si>
  <si>
    <r>
      <rPr>
        <sz val="10"/>
        <color theme="1"/>
        <rFont val="Arial"/>
        <family val="2"/>
      </rPr>
      <t>De fördelar som ängar ger för mikroklimatet motsvarar perenner. En äng kan dock erbjuda bättre möjligheter att lära sig om naturen. Ängen kan även användas för vistelse med vissa begränsningar.</t>
    </r>
  </si>
  <si>
    <r>
      <rPr>
        <sz val="10"/>
        <rFont val="Arial"/>
        <family val="2"/>
      </rPr>
      <t>Vakiintumisen (niitto muutaman kerran kesässä) jälkeen vaatii hoitoa 1-2 kertaa kesässä, kuivat kedot jopa harvemmin. Niityt ja kedot vaativat vähemmän hoitoa kuin esimerkiksi perennat tai nurmikko.</t>
    </r>
  </si>
  <si>
    <r>
      <rPr>
        <sz val="10"/>
        <rFont val="Arial"/>
        <family val="2"/>
      </rPr>
      <t>Odlingslotterna består ofta av ettåriga arter, varför deras ekologiska betydelse framhävs under vegetationsperioden då deras betydelse för pollinerande insekter och arternas mångfald är stor.  Odlingslotternas betydelse är mindre än till exempel perennernas, bland annat för att antalet blommande nektarväxter proportionellt sett är lägre.</t>
    </r>
  </si>
  <si>
    <r>
      <rPr>
        <sz val="10"/>
        <rFont val="Arial"/>
        <family val="2"/>
      </rPr>
      <t>Kuntta on luonnonmukaisempi, monilajisempi ja vähemmän hoitoa vaativa vaihtoehto nurmikolle. Kuntan kasvit tarjoavat ravintoa, elinympäristöjä ja suojapaikkoja monille pieneläimille. Kuntan ekologisuutta vähentää sen keräyksen ja kuljetuksen hiilijalanjälki. On syytä huolehtia, että tilattava kuntta on varmasti kerätty muutoinkin tuhoutuvasta kohteesta.</t>
    </r>
  </si>
  <si>
    <r>
      <rPr>
        <sz val="10"/>
        <rFont val="Arial"/>
        <family val="2"/>
      </rPr>
      <t>Samma fördelar som med hållbar ekologisk undervegetation, men funktionsdugligheten minskar på grund av svag slitagetålighet.</t>
    </r>
  </si>
  <si>
    <r>
      <rPr>
        <sz val="10"/>
        <rFont val="Arial"/>
        <family val="2"/>
      </rPr>
      <t>Måren har ett landskapvärde som motsvarar landskapsvärdet av perenner och buskar. Mårens specifika värde består av dess betydelse i det finländska landskapet.</t>
    </r>
  </si>
  <si>
    <r>
      <rPr>
        <sz val="10"/>
        <rFont val="Arial"/>
        <family val="2"/>
      </rPr>
      <t>Mårens fördelar är desamma som hos perenner eller buskar som ska planteras.</t>
    </r>
  </si>
  <si>
    <r>
      <rPr>
        <sz val="10"/>
        <rFont val="Arial"/>
        <family val="2"/>
      </rPr>
      <t>Behovet av underhåll efter transporten av den är ganska stort, eftersom måren behöver ymnig bevattning för att rota sig i växtunderlaget. Senare är behovet av skötsel litet, till största delen avlägsnande av oönskade ogräsfrön etc.</t>
    </r>
  </si>
  <si>
    <r>
      <rPr>
        <sz val="10"/>
        <rFont val="Arial"/>
        <family val="2"/>
      </rPr>
      <t>Gräsmattan har betydelse för mångfalden, men i mindre utsträckning än till exempel måren (bland annat lägre antal arter och färre växter). Kräver vanligen regelbundet underhåll såsom bevattning och maskinell slåtter, vilket minskar dess ekologi.</t>
    </r>
  </si>
  <si>
    <r>
      <rPr>
        <sz val="10"/>
        <rFont val="Arial"/>
        <family val="2"/>
      </rPr>
      <t>Ingen nämnvärd betydelse för mångfald eller kolbindning. Den småskaliga växtlighet som bildas på gräsarmeringssten eller stenmjöl har dock större inverkan på mångfalden och kolbindningen än en ogenomtränglig yta.</t>
    </r>
  </si>
  <si>
    <r>
      <rPr>
        <sz val="10"/>
        <rFont val="Arial"/>
        <family val="2"/>
      </rPr>
      <t>Samma funktion som på gräsmattan, men den reglerande inverkan på mikroklimatet är mindre.</t>
    </r>
  </si>
  <si>
    <r>
      <rPr>
        <sz val="10"/>
        <rFont val="Arial"/>
        <family val="2"/>
      </rPr>
      <t>Ingen nämnvärd betydelse för mångfald eller kolbindning. Den småskaliga vegetation som bildas ovanpå en genomsläpplig ytbeläggning har dock större inverkan på mångfalden och kolbindningen än en ogenomtränglig yta.</t>
    </r>
  </si>
  <si>
    <r>
      <rPr>
        <sz val="10"/>
        <rFont val="Arial"/>
        <family val="2"/>
      </rPr>
      <t>Mycket betydande med tanke på arternas mångfald. Tack vare den rikliga växtligheten har den också betydelse för kolbindningen. Ekologin förstärks av möjligheten att utnyttja dagvatten i trädgårdsskötselen. Obs! Främmande arter och andra arter som sprids aggressivt ska inte användas.</t>
    </r>
  </si>
  <si>
    <r>
      <rPr>
        <sz val="10"/>
        <rFont val="Arial"/>
        <family val="2"/>
      </rPr>
      <t>Hulevesien hallinnan kannalta erittäin merkittävä; soveltuu hyvin hulevesien määrän ja laadun hallintaan (10).</t>
    </r>
  </si>
  <si>
    <r>
      <rPr>
        <sz val="10"/>
        <rFont val="Arial"/>
        <family val="2"/>
      </rPr>
      <t>Ingen direkt betydelse för mångfald och kolbindning. Regnvatten som absorberas i tomtens mark via konstruktionen minskar behovet av bevattning från vattenledningar och förbättrar växtlighetens välbefinnande på tomten och därigenom bland annat kolbindningen.</t>
    </r>
  </si>
  <si>
    <r>
      <rPr>
        <sz val="10"/>
        <rFont val="Arial"/>
        <family val="2"/>
      </rPr>
      <t>Ekologisk växtlighet är viktig för mångfalden, livsmiljöerna och det ekologiska nätverket. Tack vare den rikliga växtligheten har den också betydelse för kolbindningen. Obs! Främmande arter eller andra arter som sprider sig aggressivt ska inte användas.</t>
    </r>
  </si>
  <si>
    <r>
      <rPr>
        <sz val="10"/>
        <rFont val="Arial"/>
        <family val="2"/>
      </rPr>
      <t>Samma funktioner som hos en fördröjningssänka.  Beroende på den fortsatta styrningen av dagvattnet har schaktet mindre betydelse när det gäller den kvalitativa dagvattenhanteringen.</t>
    </r>
  </si>
  <si>
    <r>
      <rPr>
        <sz val="10"/>
        <rFont val="Arial"/>
        <family val="2"/>
      </rPr>
      <t>Ingen betydelse för mångfalden och kolbindningen. Å andra sidan frigörs utrymme för växtlighet eller annan användning av markytan. Insamlingen av regnvatten har dock ett stort ekologiskt värde, eftersom det minskar användningen av vattenledningsvatten i synnerhet i situationer då det även annars kan råda brist på vatten (perioder av torka). Betydelse för mångfalden och kolbindningen, när planteringarna under torra perioder förblir livskraftiga och kolbindande.</t>
    </r>
  </si>
  <si>
    <r>
      <rPr>
        <sz val="10"/>
        <rFont val="Arial"/>
        <family val="2"/>
      </rPr>
      <t>Bevattning möjliggör delaktighet och gemenskap med andra funktioner på gården, såsom trädgårdsskötsel i allmänhet.</t>
    </r>
  </si>
  <si>
    <r>
      <rPr>
        <sz val="10"/>
        <rFont val="Arial"/>
        <family val="2"/>
      </rPr>
      <t>Ingen betydelse för landskapet.</t>
    </r>
  </si>
  <si>
    <r>
      <rPr>
        <sz val="10"/>
        <rFont val="Arial"/>
        <family val="2"/>
      </rPr>
      <t>Underhållsbehovet är jämförbart med underhållet av ett absorberande schakt. Här ingår till exempel sköljning av täckdikningssystem och avlägsnande av fasta partiklar med sugmetoden (10).</t>
    </r>
  </si>
  <si>
    <r>
      <rPr>
        <sz val="10"/>
        <rFont val="Arial"/>
        <family val="2"/>
      </rPr>
      <t>Samma funktioner som hos en fördröjningssänka.</t>
    </r>
  </si>
  <si>
    <r>
      <rPr>
        <sz val="10"/>
        <rFont val="Arial"/>
        <family val="2"/>
      </rPr>
      <t>Ekologin förstärks likaså av en minskad mängd vattenledningsvatten i bevattningen och en förbättring av växtlighetens välbefinnande.</t>
    </r>
  </si>
  <si>
    <r>
      <rPr>
        <sz val="10"/>
        <rFont val="Arial"/>
        <family val="2"/>
      </rPr>
      <t>Betydelse för dagvattenhanteringen, men beror i hög grad på hur styrrutten dras och underhålls.</t>
    </r>
  </si>
  <si>
    <r>
      <rPr>
        <sz val="10"/>
        <rFont val="Arial"/>
        <family val="2"/>
      </rPr>
      <t>Möjlighet till vattenlekar och lärande av naturen. Funktionaliteten minskas av säkerhetsaspekter och insekter som ofta förekommer i vattensammanhang, såsom myggor.</t>
    </r>
  </si>
  <si>
    <r>
      <rPr>
        <sz val="10"/>
        <rFont val="Arial"/>
        <family val="2"/>
      </rPr>
      <t>Möjliggör en trivsammare vistelse inom- och utomhus under perioder av hetta. Lövträdens höstfärger som lätt syns från fönstren ökar trivseln.</t>
    </r>
  </si>
  <si>
    <r>
      <rPr>
        <sz val="10"/>
        <rFont val="Arial"/>
        <family val="2"/>
      </rPr>
      <t>Träden har ett betydande värde i landskapet.</t>
    </r>
  </si>
  <si>
    <r>
      <rPr>
        <sz val="10"/>
        <rFont val="Arial"/>
        <family val="2"/>
      </rPr>
      <t xml:space="preserve">En yta som släpper igenom vattnet möjliggör bättre än en ogenomtränglig yta bland annat marklevande organismers välbefinnande. Småskalig växtlighet som utvecklas i gräs- och sand- eller grusytan på en idrottsplan har betydelse för mångfalden och kolbindning. </t>
    </r>
  </si>
  <si>
    <r>
      <rPr>
        <sz val="10"/>
        <rFont val="Arial"/>
        <family val="2"/>
      </rPr>
      <t>Den genomsläppliga ytan underlättar dagvattenhanteringen.</t>
    </r>
  </si>
  <si>
    <r>
      <rPr>
        <b/>
        <sz val="10"/>
        <rFont val="Arial"/>
        <family val="2"/>
      </rPr>
      <t>Viljelypalsta tai viljelylaatikko</t>
    </r>
  </si>
  <si>
    <r>
      <rPr>
        <sz val="10"/>
        <color theme="1"/>
        <rFont val="Arial"/>
        <family val="2"/>
      </rPr>
      <t>Ett stort planterat träd medför samma nytta som motsvarande träd som bevaras, men nyttan realiseras ofta först om flera år. Långlivade växter med träig stam har en särskilt stor betydelse för kolbindning och kollagring.</t>
    </r>
  </si>
  <si>
    <r>
      <rPr>
        <sz val="10"/>
        <color theme="1"/>
        <rFont val="Arial"/>
        <family val="2"/>
      </rPr>
      <t>Ökningen av den vertikala arealen är inte direkt proportionell mot nyttan för dagvattenhanteringen, varför viktningen är mindre än hos stora buskar.</t>
    </r>
  </si>
  <si>
    <r>
      <rPr>
        <sz val="10"/>
        <rFont val="Arial"/>
        <family val="2"/>
      </rPr>
      <t>Betydelse för hanteringen av dagvatten, men beror i hög grad på byggandet och underhållet av styrrutten och den anslutna vattenformen.</t>
    </r>
  </si>
  <si>
    <r>
      <rPr>
        <sz val="10"/>
        <color theme="1"/>
        <rFont val="Arial"/>
        <family val="2"/>
      </rPr>
      <t xml:space="preserve">Ekologin är mer jämförbar med en takgård än ett tak för levergräs, eftersom det redan är möjligt att plantera en mycket mångformig vegetation på ett 10–29 cm tjockt grönt tak. </t>
    </r>
  </si>
  <si>
    <r>
      <rPr>
        <sz val="10"/>
        <color theme="1"/>
        <rFont val="Arial"/>
        <family val="2"/>
      </rPr>
      <t>Landskapsvärdet beror på hur fördjupningen förverkligas. Vanligen jämförbar med en fördröjande eller absorberande sänka.</t>
    </r>
  </si>
  <si>
    <r>
      <rPr>
        <b/>
        <sz val="12"/>
        <color theme="0"/>
        <rFont val="Arial"/>
        <family val="2"/>
      </rPr>
      <t>Konstruktionens bottenyta, m² (A1)</t>
    </r>
  </si>
  <si>
    <r>
      <rPr>
        <b/>
        <sz val="12"/>
        <color theme="0"/>
        <rFont val="Arial"/>
        <family val="2"/>
      </rPr>
      <t>Konstruktionens högsta vattenyta, m² (A2)</t>
    </r>
  </si>
  <si>
    <r>
      <rPr>
        <b/>
        <sz val="12"/>
        <color theme="0"/>
        <rFont val="Arial"/>
        <family val="2"/>
      </rPr>
      <t>Fördröjningslagrets maximala djup, m (h)</t>
    </r>
  </si>
  <si>
    <r>
      <rPr>
        <b/>
        <sz val="12"/>
        <color theme="0"/>
        <rFont val="Arial"/>
        <family val="2"/>
      </rPr>
      <t>Genomsnittligt djup (h)</t>
    </r>
  </si>
  <si>
    <r>
      <rPr>
        <b/>
        <sz val="11"/>
        <rFont val="Arial"/>
        <family val="2"/>
      </rPr>
      <t>Fyll i ytterligare uppgifter</t>
    </r>
    <r>
      <rPr>
        <sz val="11"/>
        <rFont val="Arial"/>
        <family val="2"/>
      </rPr>
      <t xml:space="preserve"> om bonuselement (bland annat element, antal, sort, läge)</t>
    </r>
  </si>
  <si>
    <r>
      <rPr>
        <sz val="12"/>
        <rFont val="Arial"/>
        <family val="2"/>
      </rPr>
      <t>m</t>
    </r>
    <r>
      <rPr>
        <vertAlign val="superscript"/>
        <sz val="12"/>
        <rFont val="Arial"/>
        <family val="2"/>
      </rPr>
      <t>3</t>
    </r>
  </si>
  <si>
    <r>
      <rPr>
        <b/>
        <sz val="11"/>
        <rFont val="Arial"/>
        <family val="2"/>
      </rPr>
      <t>Dagvatten</t>
    </r>
    <r>
      <rPr>
        <sz val="11"/>
        <color theme="1"/>
        <rFont val="Arial"/>
        <family val="2"/>
      </rPr>
      <t xml:space="preserve"> (vägt i efterhand)</t>
    </r>
  </si>
  <si>
    <r>
      <rPr>
        <b/>
        <sz val="10"/>
        <rFont val="Arial"/>
        <family val="2"/>
      </rPr>
      <t>Regnträdgård (utan permanent vattenyta) med mångsidig växtlighet i lager,</t>
    </r>
    <r>
      <rPr>
        <b/>
        <sz val="10"/>
        <color theme="4" tint="-0.249977111117893"/>
        <rFont val="Arial"/>
        <family val="2"/>
      </rPr>
      <t xml:space="preserve"> biofiltreringsstruktur (B), fördröjningsstruktur (V)</t>
    </r>
  </si>
  <si>
    <r>
      <rPr>
        <b/>
        <sz val="10"/>
        <rFont val="Arial"/>
        <family val="2"/>
      </rPr>
      <t xml:space="preserve">En tjärn, våtmarker eller sanka ängar med ekologisk växtlighet (åtminstone en del av året permanent vattenareal; den övriga tiden förblir marken fuktig), Läs: </t>
    </r>
    <r>
      <rPr>
        <b/>
        <sz val="10"/>
        <rFont val="Arial"/>
        <family val="2"/>
      </rPr>
      <t xml:space="preserve"> Hagelberg et al., 2009 (18), </t>
    </r>
    <r>
      <rPr>
        <b/>
        <sz val="10"/>
        <color theme="4" tint="-0.249977111117893"/>
        <rFont val="Arial"/>
        <family val="2"/>
      </rPr>
      <t>fördröjande struktur (V)</t>
    </r>
  </si>
  <si>
    <r>
      <rPr>
        <b/>
        <sz val="10"/>
        <rFont val="Arial"/>
        <family val="2"/>
      </rPr>
      <t>Fördröjningsschakt</t>
    </r>
    <r>
      <rPr>
        <sz val="10"/>
        <rFont val="Arial"/>
        <family val="2"/>
      </rPr>
      <t xml:space="preserve"> </t>
    </r>
    <r>
      <rPr>
        <b/>
        <sz val="10"/>
        <rFont val="Arial"/>
        <family val="2"/>
      </rPr>
      <t xml:space="preserve">eller fördröjningstank (underjordisk), </t>
    </r>
    <r>
      <rPr>
        <sz val="10"/>
        <color theme="4" tint="-0.249977111117893"/>
        <rFont val="Arial"/>
        <family val="2"/>
      </rPr>
      <t xml:space="preserve"> </t>
    </r>
    <r>
      <rPr>
        <b/>
        <sz val="10"/>
        <color theme="4" tint="-0.249977111117893"/>
        <rFont val="Arial"/>
        <family val="2"/>
      </rPr>
      <t>fördröjningskonstruktion (V)</t>
    </r>
  </si>
  <si>
    <r>
      <rPr>
        <b/>
        <sz val="10"/>
        <rFont val="Arial"/>
        <family val="2"/>
      </rPr>
      <t xml:space="preserve">En biofiltreringssänka eller -bassäng (till exempel en vägrenssänka), </t>
    </r>
    <r>
      <rPr>
        <b/>
        <sz val="10"/>
        <color theme="4" tint="-0.249977111117893"/>
        <rFont val="Arial"/>
        <family val="2"/>
      </rPr>
      <t>biofiltreringskonstruktion (B), fördröjningskonstruktion (V)</t>
    </r>
  </si>
  <si>
    <r>
      <rPr>
        <sz val="10"/>
        <color rgb="FF222222"/>
        <rFont val="Arial"/>
        <family val="2"/>
      </rPr>
      <t>Tyrväinen, Liisa. "The amenity value of the urban forest: an application of the hedonic pricing method." </t>
    </r>
    <r>
      <rPr>
        <i/>
        <sz val="10"/>
        <color rgb="FF222222"/>
        <rFont val="Arial"/>
        <family val="2"/>
      </rPr>
      <t>Landscape and Urban planning</t>
    </r>
    <r>
      <rPr>
        <sz val="10"/>
        <color rgb="FF222222"/>
        <rFont val="Arial"/>
        <family val="2"/>
      </rPr>
      <t> 37.3 (1997): 211-222.</t>
    </r>
  </si>
  <si>
    <r>
      <rPr>
        <sz val="10"/>
        <color rgb="FF222222"/>
        <rFont val="Arial"/>
        <family val="2"/>
      </rPr>
      <t>Rosenvald, Raul, and Asko Lohmus. "For what, when, and where is green-tree retention better than clear-cutting? A review of the biodiversity aspects." </t>
    </r>
    <r>
      <rPr>
        <i/>
        <sz val="10"/>
        <color rgb="FF222222"/>
        <rFont val="Arial"/>
        <family val="2"/>
      </rPr>
      <t>Forest Ecology and Management</t>
    </r>
    <r>
      <rPr>
        <sz val="10"/>
        <color rgb="FF222222"/>
        <rFont val="Arial"/>
        <family val="2"/>
      </rPr>
      <t> 255.1 (2008): 1-15.</t>
    </r>
  </si>
  <si>
    <r>
      <rPr>
        <sz val="10"/>
        <color rgb="FF222222"/>
        <rFont val="Arial"/>
        <family val="2"/>
      </rPr>
      <t>Kremen, Claire, and Richard S. Ostfeld. "A call to ecologists: measuring, analyzing, and managing ecosystem services." </t>
    </r>
    <r>
      <rPr>
        <i/>
        <sz val="10"/>
        <color rgb="FF222222"/>
        <rFont val="Arial"/>
        <family val="2"/>
      </rPr>
      <t>Frontiers in Ecology and the Environment</t>
    </r>
    <r>
      <rPr>
        <sz val="10"/>
        <color rgb="FF222222"/>
        <rFont val="Arial"/>
        <family val="2"/>
      </rPr>
      <t> 3.10 (2005): 540-548.</t>
    </r>
  </si>
  <si>
    <r>
      <rPr>
        <b/>
        <sz val="14"/>
        <color theme="1"/>
        <rFont val="Arial"/>
        <family val="2"/>
      </rPr>
      <t>Skala (Ekologi, funktion, landskapvärde – Obs! för bonuselement maximipoängtal 1)</t>
    </r>
  </si>
  <si>
    <r>
      <rPr>
        <b/>
        <sz val="14"/>
        <color theme="1"/>
        <rFont val="Arial"/>
        <family val="2"/>
      </rPr>
      <t>Skala (Underhåll – Obs! för bonuselement maximalt antal poäng 1)</t>
    </r>
  </si>
  <si>
    <r>
      <rPr>
        <sz val="11"/>
        <color theme="1"/>
        <rFont val="Arial"/>
        <family val="2"/>
      </rPr>
      <t>”TO HIDE” ”ytbeläggningar alla”</t>
    </r>
  </si>
  <si>
    <r>
      <rPr>
        <sz val="11"/>
        <color theme="1"/>
        <rFont val="Arial"/>
        <family val="2"/>
      </rPr>
      <t>”TO HIDE” ”ytbeläggningar veg covered”</t>
    </r>
  </si>
  <si>
    <r>
      <rPr>
        <sz val="11"/>
        <color theme="1"/>
        <rFont val="Arial"/>
        <family val="2"/>
      </rPr>
      <t>”TO HIDE”  övre våning</t>
    </r>
  </si>
  <si>
    <r>
      <rPr>
        <sz val="11"/>
        <color theme="1"/>
        <rFont val="Arial"/>
        <family val="2"/>
      </rPr>
      <t>”TO HIDE”  nedre våning</t>
    </r>
  </si>
  <si>
    <r>
      <rPr>
        <sz val="12"/>
        <rFont val="Arial"/>
        <family val="2"/>
      </rPr>
      <t>Planteringar som producerar grödor som kan återvinnas eller ätas: fruktträd (à 10 m²), bärbuskar (à 10 m²)</t>
    </r>
  </si>
  <si>
    <r>
      <rPr>
        <sz val="12"/>
        <color theme="1"/>
        <rFont val="Arial"/>
        <family val="2"/>
      </rPr>
      <t>Insamling av dagvatten från takytorna som bevattningsvatten eller kontrollerad ledning av dagvatten till markbaserad växtlighet</t>
    </r>
  </si>
  <si>
    <r>
      <rPr>
        <sz val="12"/>
        <rFont val="Arial"/>
        <family val="2"/>
      </rPr>
      <t>Ledning av dagvatten från ogenomträngliga ytor till vattenelement som är byggda såsom dammar och bäckar där vattnet växlar/cirkulerar/strömmar</t>
    </r>
  </si>
  <si>
    <r>
      <rPr>
        <i/>
        <sz val="11"/>
        <rFont val="Arial"/>
        <family val="2"/>
      </rPr>
      <t>djup saknas för fördröjningskonstruktionen</t>
    </r>
  </si>
  <si>
    <r>
      <rPr>
        <i/>
        <sz val="11"/>
        <rFont val="Arial"/>
        <family val="2"/>
      </rPr>
      <t>djup för biofiltreringskonstruktionen saknas</t>
    </r>
  </si>
  <si>
    <r>
      <rPr>
        <sz val="10"/>
        <rFont val="Arial"/>
        <family val="2"/>
      </rPr>
      <t>Mindre betydelse för utjämning av mikroklimatet än regnträdgårdens. Terrängformgivning, stenar och växtlighet erbjuder möjligheter att leka, röra sig och göra iakttagelser i naturen.</t>
    </r>
  </si>
  <si>
    <r>
      <rPr>
        <b/>
        <sz val="12"/>
        <rFont val="Arial"/>
        <family val="2"/>
      </rPr>
      <t>Behov av fördröjning</t>
    </r>
  </si>
  <si>
    <r>
      <rPr>
        <sz val="11"/>
        <color theme="1"/>
        <rFont val="Arial"/>
        <family val="2"/>
      </rPr>
      <t>Biosuodatusrakenteen paksuus keskisyvyys (m)</t>
    </r>
  </si>
  <si>
    <r>
      <rPr>
        <i/>
        <sz val="11"/>
        <rFont val="Arial"/>
        <family val="2"/>
      </rPr>
      <t>Kolbindning och kollagring, mångfald i arter och livsmiljöer, ekologiskt nätverk</t>
    </r>
  </si>
  <si>
    <r>
      <rPr>
        <i/>
        <sz val="11"/>
        <rFont val="Arial"/>
        <family val="2"/>
      </rPr>
      <t>Utjämning och rengöring av mikroklimatet (kylning, bindning av luftföroreningar, minskning av buller och vind, insynskydd), matproduktion genom nyttoodling, lärande av naturen, lek, säkerhet</t>
    </r>
  </si>
  <si>
    <r>
      <rPr>
        <b/>
        <sz val="14"/>
        <color theme="1"/>
        <rFont val="Arial"/>
        <family val="2"/>
      </rPr>
      <t>Asteikko (ekologisuus, toiminnallisuus, maisema-arvo - huom. bonuselementeillä maksimipistemäärä 1)</t>
    </r>
  </si>
  <si>
    <r>
      <rPr>
        <b/>
        <sz val="14"/>
        <color theme="1"/>
        <rFont val="Arial"/>
        <family val="2"/>
      </rPr>
      <t>Asteikko (kunnossapito - huom. bonuselementeillä maksimipistemäärä 1)</t>
    </r>
  </si>
  <si>
    <r>
      <rPr>
        <b/>
        <sz val="14"/>
        <color theme="1"/>
        <rFont val="Arial"/>
        <family val="2"/>
      </rPr>
      <t>Antal</t>
    </r>
  </si>
  <si>
    <r>
      <rPr>
        <sz val="12"/>
        <color theme="1"/>
        <rFont val="Arial"/>
        <family val="2"/>
      </rPr>
      <t>Grön vägg eller annan växtlighet som är integrerad i fasaden</t>
    </r>
  </si>
  <si>
    <r>
      <rPr>
        <b/>
        <sz val="10"/>
        <rFont val="Arial"/>
        <family val="2"/>
      </rPr>
      <t>Viherkatto: Kattopuutarha 30–100 cm</t>
    </r>
  </si>
  <si>
    <r>
      <rPr>
        <b/>
        <sz val="10"/>
        <rFont val="Arial"/>
        <family val="2"/>
      </rPr>
      <t>Viherkatto: Niitty, keto tai heinä, kasvualustan paksuus 10–29 cm</t>
    </r>
  </si>
  <si>
    <r>
      <rPr>
        <sz val="12"/>
        <color theme="1"/>
        <rFont val="Arial"/>
        <family val="2"/>
      </rPr>
      <t>Grönt tak: Tak för fetknopp eller mossa, växtunderlagets tjocklek 4–9 cm</t>
    </r>
  </si>
  <si>
    <r>
      <rPr>
        <b/>
        <sz val="10"/>
        <rFont val="Arial"/>
        <family val="2"/>
      </rPr>
      <t xml:space="preserve">Gröna tak: </t>
    </r>
    <r>
      <rPr>
        <b/>
        <sz val="10"/>
        <rFont val="Arial"/>
        <family val="2"/>
      </rPr>
      <t xml:space="preserve">Ängs-, fält- eller grästak, växtunderlagets tjocklek 10–29 cm </t>
    </r>
    <r>
      <rPr>
        <sz val="10"/>
        <rFont val="Arial"/>
        <family val="2"/>
      </rPr>
      <t xml:space="preserve">(tjocklek enligt önskad art: Till exempel 10 cm möjliggör ett torrt ängstak; minst 15 cm krävs för ett frodigare ängstak: </t>
    </r>
    <r>
      <rPr>
        <u/>
        <sz val="10"/>
        <rFont val="Arial"/>
        <family val="2"/>
      </rPr>
      <t xml:space="preserve">Läs: </t>
    </r>
    <r>
      <rPr>
        <u/>
        <sz val="10"/>
        <rFont val="Arial"/>
        <family val="2"/>
      </rPr>
      <t>RT 85-11204</t>
    </r>
    <r>
      <rPr>
        <sz val="10"/>
        <rFont val="Arial"/>
        <family val="2"/>
      </rPr>
      <t xml:space="preserve"> Gröna tak samt tak- och däckträdgårdar, växtlighet och växtunderlag; Tabell 14)</t>
    </r>
    <r>
      <rPr>
        <b/>
        <sz val="10"/>
        <rFont val="Arial"/>
        <family val="2"/>
      </rPr>
      <t>.</t>
    </r>
  </si>
  <si>
    <r>
      <rPr>
        <b/>
        <sz val="10"/>
        <rFont val="Arial"/>
        <family val="2"/>
      </rPr>
      <t xml:space="preserve">Gröna tak: </t>
    </r>
    <r>
      <rPr>
        <b/>
        <sz val="10"/>
        <rFont val="Arial"/>
        <family val="2"/>
      </rPr>
      <t>Takträdgård 30–100 cm</t>
    </r>
    <r>
      <rPr>
        <sz val="10"/>
        <rFont val="Arial"/>
        <family val="2"/>
      </rPr>
      <t xml:space="preserve"> (</t>
    </r>
    <r>
      <rPr>
        <i/>
        <sz val="10"/>
        <rFont val="Arial"/>
        <family val="2"/>
      </rPr>
      <t xml:space="preserve">tjocklek enligt önskad art: </t>
    </r>
    <r>
      <rPr>
        <i/>
        <sz val="10"/>
        <rFont val="Arial"/>
        <family val="2"/>
      </rPr>
      <t xml:space="preserve">Till exempel möjliggör 30 cm endast låga buskar; minst 60 cm krävs för större buskar med trädstam: </t>
    </r>
    <r>
      <rPr>
        <i/>
        <u/>
        <sz val="10"/>
        <rFont val="Arial"/>
        <family val="2"/>
      </rPr>
      <t xml:space="preserve">Läs: </t>
    </r>
    <r>
      <rPr>
        <i/>
        <u/>
        <sz val="10"/>
        <rFont val="Arial"/>
        <family val="2"/>
      </rPr>
      <t>RT 85-11204</t>
    </r>
    <r>
      <rPr>
        <i/>
        <sz val="10"/>
        <rFont val="Arial"/>
        <family val="2"/>
      </rPr>
      <t xml:space="preserve"> Gröna tak och tak- och däckträdgårdar, växtlighet och växtunderlag; Tabell 14</t>
    </r>
    <r>
      <rPr>
        <sz val="10"/>
        <rFont val="Arial"/>
        <family val="2"/>
      </rPr>
      <t>)</t>
    </r>
  </si>
  <si>
    <r>
      <rPr>
        <b/>
        <sz val="10"/>
        <color theme="1"/>
        <rFont val="Arial"/>
        <family val="2"/>
      </rPr>
      <t>Perenner, växtunderlagets djup 0,4–0,6 m</t>
    </r>
  </si>
  <si>
    <r>
      <rPr>
        <b/>
        <sz val="10"/>
        <color theme="1"/>
        <rFont val="Arial"/>
        <family val="2"/>
      </rPr>
      <t>Äng eller fält, växtunderlagets djup 0,15–0,3 m</t>
    </r>
  </si>
  <si>
    <r>
      <rPr>
        <b/>
        <sz val="10"/>
        <rFont val="Arial"/>
        <family val="2"/>
      </rPr>
      <t>Gräs, tillväxtunderlagets djup 0,15–0,2 m</t>
    </r>
  </si>
  <si>
    <r>
      <rPr>
        <sz val="10"/>
        <color theme="1"/>
        <rFont val="Arial"/>
        <family val="2"/>
      </rPr>
      <t>Version</t>
    </r>
  </si>
  <si>
    <r>
      <rPr>
        <sz val="12"/>
        <color theme="1"/>
        <rFont val="Arial Bold"/>
      </rPr>
      <t>Viktade delområden vid beräkningen av grönkoefficienten</t>
    </r>
  </si>
  <si>
    <r>
      <rPr>
        <i/>
        <sz val="11"/>
        <rFont val="Arial"/>
        <family val="2"/>
      </rPr>
      <t>Vårdens svårighetsgrad och behandlingsfrekvens</t>
    </r>
  </si>
  <si>
    <r>
      <rPr>
        <i/>
        <sz val="11"/>
        <rFont val="Arial"/>
        <family val="2"/>
      </rPr>
      <t>Anslutning till den omgivande stadsbilden,</t>
    </r>
    <r>
      <rPr>
        <sz val="11"/>
        <rFont val="Arial"/>
        <family val="2"/>
      </rPr>
      <t xml:space="preserve">
</t>
    </r>
    <r>
      <rPr>
        <i/>
        <sz val="11"/>
        <rFont val="Arial"/>
        <family val="2"/>
      </rPr>
      <t>inverkan på landskapet</t>
    </r>
  </si>
  <si>
    <r>
      <rPr>
        <b/>
        <sz val="16"/>
        <color theme="0"/>
        <rFont val="Arial"/>
        <family val="2"/>
      </rPr>
      <t>NATURRÄKNARE</t>
    </r>
  </si>
  <si>
    <r>
      <rPr>
        <sz val="11"/>
        <color theme="1"/>
        <rFont val="Arial"/>
        <family val="2"/>
      </rPr>
      <t>Tontin säilyvän alkuperäisen maanpeitekasvillisuuden osuus tontin pinta-alasta</t>
    </r>
  </si>
  <si>
    <r>
      <rPr>
        <sz val="11"/>
        <rFont val="Arial"/>
        <family val="2"/>
      </rPr>
      <t>De arter som blir kvar och de som planteras kommer som fullvuxna att finnas i minst tre olika lager</t>
    </r>
  </si>
  <si>
    <r>
      <rPr>
        <sz val="11"/>
        <rFont val="Arial"/>
        <family val="2"/>
      </rPr>
      <t>På tomten finns minst ett enhetligt planteringsområde som är minst 10 m² stort och som har växtlighet i minst tre olika lager</t>
    </r>
  </si>
  <si>
    <r>
      <rPr>
        <sz val="11"/>
        <rFont val="Arial"/>
        <family val="2"/>
      </rPr>
      <t>Bevarande av stubbar på tomten med en höjd av minst 0,5 m</t>
    </r>
  </si>
  <si>
    <r>
      <rPr>
        <sz val="11"/>
        <rFont val="Arial"/>
        <family val="2"/>
      </rPr>
      <t>Byggande av minst tre fågel- eller fladdermusholkar på tomten</t>
    </r>
  </si>
  <si>
    <r>
      <rPr>
        <sz val="11"/>
        <rFont val="Arial"/>
        <family val="2"/>
      </rPr>
      <t>Att bygga en lövkompost på tomten</t>
    </r>
  </si>
  <si>
    <r>
      <rPr>
        <sz val="11"/>
        <color theme="1"/>
        <rFont val="Arial"/>
        <family val="2"/>
      </rPr>
      <t>Blomningen av de nektarväxter som använts i planteringar pågår sammanlagt minst 3 mån.</t>
    </r>
  </si>
  <si>
    <r>
      <rPr>
        <sz val="11"/>
        <color theme="1"/>
        <rFont val="Arial"/>
        <family val="2"/>
      </rPr>
      <t>I planteringarna används nektarrika växter tidigt på våren</t>
    </r>
  </si>
  <si>
    <r>
      <rPr>
        <sz val="11"/>
        <rFont val="Arial"/>
        <family val="2"/>
      </rPr>
      <t>Vid planteringen används minst tre träd- eller buskarter som producerar ätbara bär, frukter eller nötter</t>
    </r>
  </si>
  <si>
    <r>
      <rPr>
        <b/>
        <sz val="12"/>
        <color theme="1"/>
        <rFont val="Arial"/>
        <family val="2"/>
      </rPr>
      <t>Arternas ursprung</t>
    </r>
  </si>
  <si>
    <r>
      <rPr>
        <sz val="11"/>
        <color theme="1"/>
        <rFont val="Arial"/>
        <family val="2"/>
      </rPr>
      <t>Istutettuja puu-, pensas- ja perennalajeja lkm kpl / 10 m²</t>
    </r>
  </si>
  <si>
    <r>
      <rPr>
        <sz val="11"/>
        <color theme="1"/>
        <rFont val="Arial"/>
        <family val="2"/>
      </rPr>
      <t>10–25 %</t>
    </r>
  </si>
  <si>
    <r>
      <rPr>
        <sz val="11"/>
        <color theme="1"/>
        <rFont val="Arial"/>
        <family val="2"/>
      </rPr>
      <t>yli 50 %</t>
    </r>
  </si>
  <si>
    <r>
      <rPr>
        <sz val="11"/>
        <rFont val="Arial"/>
        <family val="2"/>
      </rPr>
      <t>Minst hälften av de träd som blir kvar och de som planteras är inhemska arter i naturtillstånd eller arter förädlade av dem (antal träd)</t>
    </r>
  </si>
  <si>
    <r>
      <rPr>
        <sz val="11"/>
        <rFont val="Arial"/>
        <family val="2"/>
      </rPr>
      <t>Minst hälften av de buskar som blir kvar och de som planteras är inhemska arter i naturtillstånd eller arter förädlade av dem (antal buskar)</t>
    </r>
  </si>
  <si>
    <r>
      <rPr>
        <b/>
        <sz val="12"/>
        <color theme="1"/>
        <rFont val="Arial"/>
        <family val="2"/>
      </rPr>
      <t>Poäng</t>
    </r>
  </si>
  <si>
    <r>
      <rPr>
        <sz val="11"/>
        <rFont val="Arial"/>
        <family val="2"/>
      </rPr>
      <t>Poäng totalt</t>
    </r>
  </si>
  <si>
    <r>
      <rPr>
        <sz val="11"/>
        <rFont val="Arial"/>
        <family val="2"/>
      </rPr>
      <t>Fulla poäng</t>
    </r>
  </si>
  <si>
    <r>
      <rPr>
        <b/>
        <sz val="12"/>
        <color theme="1"/>
        <rFont val="Arial"/>
        <family val="2"/>
      </rPr>
      <t>Utnyttjande av blommande och skördeproducerande arter</t>
    </r>
  </si>
  <si>
    <r>
      <rPr>
        <sz val="11"/>
        <rFont val="Arial"/>
        <family val="2"/>
      </rPr>
      <t>Tomtens/kvarterets andel av den ursprungliga marktäckande vegetationen</t>
    </r>
  </si>
  <si>
    <r>
      <rPr>
        <sz val="11"/>
        <rFont val="Arial"/>
        <family val="2"/>
      </rPr>
      <t>På tomten/i kvarteret finns det efter byggandet inga arter kvar från förteckningen Vieraslaji.fi</t>
    </r>
  </si>
  <si>
    <r>
      <rPr>
        <sz val="11"/>
        <rFont val="Arial"/>
        <family val="2"/>
      </rPr>
      <t>På tomten/i kvarteret finns minst ett enhetligt planteringsområde som är minst 10 m² stort och som har växtlighet i minst tre olika lager.</t>
    </r>
  </si>
  <si>
    <r>
      <rPr>
        <sz val="11"/>
        <rFont val="Arial"/>
        <family val="2"/>
      </rPr>
      <t>Förvaring av döda träd på tomten eller återlämnande till tomten/kvarteret efter byggnationen</t>
    </r>
  </si>
  <si>
    <r>
      <rPr>
        <b/>
        <sz val="16"/>
        <color theme="0"/>
        <rFont val="Arial"/>
        <family val="2"/>
      </rPr>
      <t>RESULTAT</t>
    </r>
  </si>
  <si>
    <r>
      <rPr>
        <b/>
        <sz val="12"/>
        <color theme="1"/>
        <rFont val="Arial"/>
        <family val="2"/>
      </rPr>
      <t>Poäng som förvärvats</t>
    </r>
  </si>
  <si>
    <r>
      <rPr>
        <b/>
        <sz val="12"/>
        <color theme="1"/>
        <rFont val="Arial"/>
        <family val="2"/>
      </rPr>
      <t>Resultatmeddelanden</t>
    </r>
  </si>
  <si>
    <r>
      <rPr>
        <b/>
        <sz val="12"/>
        <color theme="1"/>
        <rFont val="Arial"/>
        <family val="2"/>
      </rPr>
      <t>Poängräkning</t>
    </r>
  </si>
  <si>
    <r>
      <rPr>
        <b/>
        <sz val="12"/>
        <color theme="1"/>
        <rFont val="Arial"/>
        <family val="2"/>
      </rPr>
      <t>Scheman för anmärkningar som skrivs ut</t>
    </r>
  </si>
  <si>
    <r>
      <rPr>
        <b/>
        <sz val="12"/>
        <color theme="1"/>
        <rFont val="Arial"/>
        <family val="2"/>
      </rPr>
      <t>Planer för resultatmeddelanden</t>
    </r>
  </si>
  <si>
    <r>
      <rPr>
        <b/>
        <sz val="12"/>
        <color theme="1"/>
        <rFont val="Arial"/>
        <family val="2"/>
      </rPr>
      <t>Anmärkningar</t>
    </r>
  </si>
  <si>
    <r>
      <rPr>
        <sz val="11"/>
        <rFont val="Arial"/>
        <family val="2"/>
      </rPr>
      <t>Tomten/kvarteret har en permanent vattentäkt där djuren kan dricka i säkerhet.</t>
    </r>
  </si>
  <si>
    <r>
      <rPr>
        <sz val="11"/>
        <color theme="1"/>
        <rFont val="Arial"/>
        <family val="2"/>
      </rPr>
      <t>1–9 %</t>
    </r>
  </si>
  <si>
    <r>
      <rPr>
        <sz val="11"/>
        <color theme="1"/>
        <rFont val="Arial"/>
        <family val="2"/>
      </rPr>
      <t>26–50 %</t>
    </r>
  </si>
  <si>
    <r>
      <rPr>
        <sz val="11"/>
        <color theme="1"/>
        <rFont val="Arial"/>
        <family val="2"/>
      </rPr>
      <t>De arter i naturtillstånd som blir kvar och de som planteras eller de arter som förädlats av dem har valts från samma naturtyp</t>
    </r>
  </si>
  <si>
    <r>
      <rPr>
        <b/>
        <sz val="12"/>
        <color theme="1"/>
        <rFont val="Arial"/>
        <family val="2"/>
      </rPr>
      <t>Klass</t>
    </r>
  </si>
  <si>
    <r>
      <rPr>
        <b/>
        <sz val="12"/>
        <rFont val="Arial"/>
        <family val="2"/>
      </rPr>
      <t>Vegetationens mångfald och talrika lager</t>
    </r>
  </si>
  <si>
    <r>
      <rPr>
        <b/>
        <sz val="12"/>
        <color theme="1"/>
        <rFont val="Arial"/>
        <family val="2"/>
      </rPr>
      <t>Fråga/påstående</t>
    </r>
  </si>
  <si>
    <r>
      <rPr>
        <b/>
        <sz val="11"/>
        <color theme="1"/>
        <rFont val="Arial"/>
        <family val="2"/>
      </rPr>
      <t>Element ifyllda</t>
    </r>
  </si>
  <si>
    <r>
      <rPr>
        <b/>
        <sz val="11"/>
        <color theme="1"/>
        <rFont val="Arial"/>
        <family val="2"/>
      </rPr>
      <t>Totalt antal element</t>
    </r>
  </si>
  <si>
    <r>
      <rPr>
        <b/>
        <sz val="14"/>
        <color theme="1"/>
        <rFont val="Arial"/>
        <family val="2"/>
      </rPr>
      <t>Grönkoefficientskalkyl</t>
    </r>
  </si>
  <si>
    <r>
      <rPr>
        <b/>
        <sz val="14"/>
        <color theme="1"/>
        <rFont val="Arial"/>
        <family val="2"/>
      </rPr>
      <t>Dagvattenkalkyl</t>
    </r>
  </si>
  <si>
    <r>
      <rPr>
        <b/>
        <sz val="14"/>
        <color theme="1"/>
        <rFont val="Arial"/>
        <family val="2"/>
      </rPr>
      <t>Resultat från naturräknaren</t>
    </r>
  </si>
  <si>
    <r>
      <rPr>
        <b/>
        <sz val="14"/>
        <rFont val="Arial"/>
        <family val="2"/>
      </rPr>
      <t>Mer information</t>
    </r>
  </si>
  <si>
    <r>
      <rPr>
        <sz val="11"/>
        <rFont val="Arial"/>
        <family val="2"/>
      </rPr>
      <t xml:space="preserve">Vegetationen kan bestå av vilken som helst naturlig (även till exempel modifierade naturtyper i städerna), självutvecklad eller gammal, ursprunglig plantering. Denna punkt styr planeringen så att man sparar befintliga växtunderlag och mark och undviker onödiga byten av massa. </t>
    </r>
  </si>
  <si>
    <r>
      <rPr>
        <sz val="11"/>
        <rFont val="Arial"/>
        <family val="2"/>
      </rPr>
      <t xml:space="preserve">Naturens mångfald kan stödas förutom genom användning av vilda arter även genom att dessa växtarter bildar en naturtyp eller motsvarande vegetation. Eftersom organismerna oftast har anpassat sig till en viss naturtyp är det mer fördelaktigt för dem att erbjuda samlade vegetationer i stället för enskilda växter. På detta sätt möjliggörs uppkomsten av naturliga enheter av levande organismer och på det sättet stöds den biologiska mångfalden mer effektivt.
Tiotals naturtyper beskrivs och presenteras med största precision i publikationen Naturtypers hotade karaktär (https://luontotyyppienuhanalaisuus.ymparisto.fi/lutu/#/). En så exakt naturtypsmotsvarighet behövs inte, men är inte heller förbjuden. 
För naturtypsmotsvarighet räcker exaktheten i de övre klasserna av naturtyper: 
– torr moskog (även torra moar, karga moar)
– färsk moskog (även lundliknande moar)
– lundar (fuktiga, färska och torra lundar)
– trasa (alla typer av träsk)
– ödemark (alla typer av ödemark)
– strandängarna
– hage (eller annan skogbevuxen vårdbiotop)
– äng eller fält
Sorterna av torra och färska moskogar och lundar presenteras till exempel på webbplatsen https://metsatyypit.luke.fi, lättast hittas uppgifter om sorter via länkar till undersidorna Tabell över moskog och Tabell över lundar
De skogiga myrnaturtyperna och sorter av dem (träsk och ödemarker) presenteras här
 https://luontotyyppienuhanalaisuus.ymparisto.fi/lutu/#/pääryhmät/Suot
(i punkten ”Beskrivning av naturtypen och bedömningskriterier”) 
Arterna av naturtyper på högre nivå presenteras också på webbplatsen Laji.fi -Pinkka:
https://pinkka.helsinki.fi/pinkat/#/pinkkas/54
På webbplatsen Laji.fi finns i fliken Biologi också den primära livsmiljön, till exempel Mk-kangasmetsät (moskogar). </t>
    </r>
  </si>
  <si>
    <r>
      <rPr>
        <sz val="11"/>
        <rFont val="Arial"/>
        <family val="2"/>
      </rPr>
      <t>Stubbarna lämnas på plats, de lyfts inte upp från marken och bearbetas inte. De ska lämnas så att de är minst 0,5 meter höga.</t>
    </r>
  </si>
  <si>
    <r>
      <rPr>
        <sz val="11"/>
        <rFont val="Arial"/>
        <family val="2"/>
      </rPr>
      <t>Döda träd ska i första hand bevaras på tomten/i kvarteret. Om de inte kan lämnas kvar under byggtiden, kan de flyttas någon annanstans och återföras till tomten/kvarteret efter bygget. Ett dött träd som ligger på marken gagnar andra arter än ett upprätt stående dött träd, varför det rekommenderas att bägge bevaras på tomten/i kvarteret. Minimihöjden av ett upprätt stående murket träd är 1,5 meter, lägre stammar klassas som stubbar (se nästa punkt).</t>
    </r>
  </si>
  <si>
    <r>
      <rPr>
        <sz val="11"/>
        <rFont val="Arial"/>
        <family val="2"/>
      </rPr>
      <t xml:space="preserve">Med nektarförande avses arter som ger nektar eller pollen eller bådadera. Nektar och pollen är viktiga för en stor del av våra insektarter, och därför stöder prioritering av dessa arter vid plantering den biologiska mångfalden. De marina växterna är särskilt viktiga tidigt på våren (mars–april) när de insekter som har övervintrat aktiveras. I naturen hör videväxterna, i synnerhet sälgen (Salix caprea) till de viktigaste nektarförande växterna. Andra viktiga är tussilago och sippor, krokusar och andra löksväxter av planteringsslagen. För pollinerande insekter finns det i bra planteringar en och flera nektarförande växter i blom från tidig vår till senhösten, åtminstone till utgången av augusti.
Enkla, oförädlade blommor producerar vanligen bäst nektar och pollen. De sorter som förädlats till tätt fördubblade är ofta defekta och saknar ofta nektar och pollen, eftersom de extra kronbladen i allmänhet har bildats av ståndare och/eller pistiller. 	</t>
    </r>
  </si>
  <si>
    <r>
      <rPr>
        <sz val="11"/>
        <rFont val="Arial"/>
        <family val="2"/>
      </rPr>
      <t>Vid plantering används nektarförande växter på våren/Nektarförande växters blomning varar sammanlagt minst 3 månader.</t>
    </r>
  </si>
  <si>
    <r>
      <rPr>
        <sz val="11"/>
        <rFont val="Arial"/>
        <family val="2"/>
      </rPr>
      <t>Minst hälften av de träd/buskar/perenner som ska bevaras och planteras är inhemska vilda arter eller sorter av dessa</t>
    </r>
  </si>
  <si>
    <r>
      <rPr>
        <sz val="11"/>
        <rFont val="Arial"/>
        <family val="2"/>
      </rPr>
      <t>Antalet arter på planteringsområden över 10 m² i genomsnitt</t>
    </r>
  </si>
  <si>
    <r>
      <rPr>
        <sz val="11"/>
        <rFont val="Arial"/>
        <family val="2"/>
      </rPr>
      <t>Lösningarna för gröna element stöder inte naturens mångfald</t>
    </r>
  </si>
  <si>
    <r>
      <rPr>
        <sz val="11"/>
        <rFont val="Arial"/>
        <family val="2"/>
      </rPr>
      <t>Lösningarna för gröna element stöder naturens mångfald</t>
    </r>
  </si>
  <si>
    <r>
      <rPr>
        <sz val="11"/>
        <rFont val="Arial"/>
        <family val="2"/>
      </rPr>
      <t>Lösningarna för gröna element stöder naturens mångfald på ett bra sätt</t>
    </r>
  </si>
  <si>
    <r>
      <rPr>
        <sz val="11"/>
        <color theme="1"/>
        <rFont val="Arial"/>
        <family val="2"/>
      </rPr>
      <t>alle 5 kpl</t>
    </r>
  </si>
  <si>
    <r>
      <rPr>
        <sz val="11"/>
        <color theme="1"/>
        <rFont val="Arial"/>
        <family val="2"/>
      </rPr>
      <t>6–10 kpl</t>
    </r>
  </si>
  <si>
    <r>
      <rPr>
        <sz val="11"/>
        <color theme="1"/>
        <rFont val="Arial"/>
        <family val="2"/>
      </rPr>
      <t xml:space="preserve">11–15 kpl </t>
    </r>
  </si>
  <si>
    <r>
      <rPr>
        <sz val="11"/>
        <color theme="1"/>
        <rFont val="Arial"/>
        <family val="2"/>
      </rPr>
      <t>yli 15 kpl</t>
    </r>
  </si>
  <si>
    <r>
      <rPr>
        <b/>
        <sz val="12"/>
        <color theme="1"/>
        <rFont val="Arial"/>
        <family val="2"/>
      </rPr>
      <t>5) Hur naturräknaren ifylls</t>
    </r>
  </si>
  <si>
    <r>
      <rPr>
        <b/>
        <sz val="12"/>
        <color theme="1"/>
        <rFont val="Arial"/>
        <family val="2"/>
      </rPr>
      <t>Vegetationen består av flera arter och flera lager</t>
    </r>
  </si>
  <si>
    <r>
      <rPr>
        <b/>
        <sz val="12"/>
        <color theme="1"/>
        <rFont val="Arial"/>
        <family val="2"/>
      </rPr>
      <t>6) Resultat</t>
    </r>
  </si>
  <si>
    <r>
      <rPr>
        <sz val="11"/>
        <rFont val="Arial"/>
        <family val="2"/>
      </rPr>
      <t>Vattenelementet på tomten/i kvarteret omges av en minst 1,0 meter bred skyddszon som upprätthålls i naturtillstånd</t>
    </r>
  </si>
  <si>
    <r>
      <rPr>
        <sz val="11"/>
        <rFont val="Arial"/>
        <family val="2"/>
      </rPr>
      <t>En struktur eller konstruktion som erbjuder skydds- och växtplatser, såsom ett naturstenskummel eller en naturstensmur på tomten/i kvarteret</t>
    </r>
  </si>
  <si>
    <r>
      <rPr>
        <sz val="11"/>
        <rFont val="Arial"/>
        <family val="2"/>
      </rPr>
      <t>Lösningarna för gröna element kan ha skadliga följder för naturens mångfald</t>
    </r>
  </si>
  <si>
    <r>
      <rPr>
        <sz val="10"/>
        <rFont val="Arial"/>
        <family val="2"/>
      </rPr>
      <t>Reducerad biologisk mångfald, dvs. förlust av biologisk mångfald, är ett hot mot mänskligheten. Förlusten av mångfald hotar direkt och indirekt också människors hälsa, matproduktionen och den ekonomiska funktionskapaciteten. 
De största orsakerna till förlusten av natur är att livsmiljöerna förändras och förstörs på grund av människan. Naturräknaren i sig är inte ett tillräckligt verktyg för att bekämpa naturförlusten. 
Med hjälp av den kan man dock välja bättre alternativ till planerna med tanke på den biologiska mångfalden och på så sätt förhindra att naturförlusten förvärras, eller till och med bromsa upp naturförlusten.</t>
    </r>
  </si>
  <si>
    <r>
      <rPr>
        <sz val="10"/>
        <color theme="1"/>
        <rFont val="Arial"/>
        <family val="2"/>
      </rPr>
      <t>Du kan förflytta dig mellan flikarna med flikikonerna i skärmens nedre kant (”Anvisningar”, ”Begränsningar”, ”Grönkoefficient”, ”Naturräknare”, ”Resultat” samt fliken ”Mer om Grönkoefficienten”, ”Mer om dagvattenlösningar” och ”Mer om naturräknaren”). Skärmens nedre kant innehåller också alternativknappar som möjliggör växling mellan flikarna. Genom att trycka på knappen ”Föregående” kommer du till föregående flik och med ett tryck på knappen ”Nästa” till nästa flik. Genom att klicka på knappen ”Anvisningar” kan användaren vid behov återgå till denna flik. Klicka på ”Aloita” (Starta) när du läst anvisningen.</t>
    </r>
  </si>
  <si>
    <r>
      <rPr>
        <sz val="12"/>
        <color theme="1"/>
        <rFont val="Arial"/>
        <family val="2"/>
      </rPr>
      <t>Insamling och lagring av regnvatten för bevattning (område à 10 m² som ska bevattnas, Obs! Enheten är volym!)</t>
    </r>
  </si>
  <si>
    <r>
      <rPr>
        <i/>
        <sz val="10"/>
        <rFont val="Arial"/>
        <family val="2"/>
      </rPr>
      <t>bild 1</t>
    </r>
  </si>
  <si>
    <r>
      <rPr>
        <sz val="11"/>
        <rFont val="Arial"/>
        <family val="2"/>
      </rPr>
      <t>Naturens mångfald kan också stödjas genom att planteringarna gynnar de ursprungliga arterna i Finlands natur. De arter som förekommer i naturen har kommit och spridit sig på olika sätt. Syftet med denna punkt är att säkerställa att det också finns vilda växtarter som är livsviktiga näringsväxter och livsmiljöer för vilda djur.
Äktheten hos växtarter kan i regel kontrolleras på webbplatsen Laji.fi. På webbplatsen finns en punkt som heter ”typ av förekomst” och som beskriver ursprunget. Det är inte möjligt att ta med en fullständig förteckning över de godkända typerna, men de viktigaste typerna av fyndigheter finns specificerade i bilagan (figur 1). Det bör noteras att de flesta växtarter och arter av prydnadsväxter (särskilt de med trädstam) härstammar från främmande arter och härstammar ursprungligen från Nordamerika eller Asien och att alla dessa inte ens finns med på webbplatsen Laji.fi. på sidan Laji.fi finns alla vilda arter i Finland, och om arten inte finns på listan är den inte vild. Observera att endast arterna har presenterats på webbplatsen, varför sortbenämningar inte finns med i databasen. Uppgifterna om arten ska alltid kontrolleras enbart utifrån artbenämningen.
Exempel: blå Juniperus horizontalis 'Wiltonii' blå 'hittas inte, men arten finns under det vetenskapliga namnet Juniperus horizontalis och under det finskspråkiga namnet laakakataja, Amerikansk Kryp-en. Det har inte fått artstatus, det finns endast en observation av arten i databasen. En liten pelare, Juniperus communis 'Arnold', finns på sidan Laji.fi vid den egentliga arten, Juniperus communis, en. Dess artstatus är ursprunglig, av gammalt ursprung, etablerad.</t>
    </r>
  </si>
  <si>
    <r>
      <rPr>
        <sz val="10"/>
        <color theme="1"/>
        <rFont val="Arial"/>
        <family val="2"/>
      </rPr>
      <t xml:space="preserve">I fliken </t>
    </r>
    <r>
      <rPr>
        <b/>
        <sz val="10"/>
        <color theme="1"/>
        <rFont val="Arial"/>
        <family val="2"/>
      </rPr>
      <t>Avgränsningar</t>
    </r>
    <r>
      <rPr>
        <sz val="10"/>
        <color theme="1"/>
        <rFont val="Arial"/>
        <family val="2"/>
      </rPr>
      <t xml:space="preserve"> definieras kvarterets eller tomtens samt det omgivande områdets särdrag som inverkar på grönkoefficientens målnivå. Ifyllande av blanketten inleds genom att datum och identifikationsuppgifter läggs till i övre kanten (namn på objektet och den som fyller i blanketten, kvartersnummer samt tomtnummer). Härnäst fastställs i blankettens högra kant de uppgifter som behövs för beräkningen: ”Kvarterets/tomtens areal m²”, ”Byggnadernas bottenyta m²” och ”våningsyta m²”. Utifrån inmatade uppgifter uppdateras fälten ”Byggnadernas bottenyta i förhållande till arealen” (byggnadernas bottenyta dividerad med tomtens/kvarterets areal) och ”Våningsytans förhållande till arealen (effektivitetstalet)” (byggnadernas våningsyta dividerad med tomtens/kvarterets areal). Objektets identifieringsuppgifter skrivs automatiskt ut i flikarna Grönkoefficient och Resultat.
I punkten Frågor definieras de 5 avgränsningar som beskriver kvarterets/tomtens och det omgivande områdets särdrag genom att den lämpligaste svarspunkten väljs. Utifrån valen bildas tomtens ”Målnivå” och ”Ärenden som ska beaktas vid beräkningen”. De omständigheter som ska beaktas lyfter fram planeringsfrågor som är viktiga med tanke på objektets egenskaper samt de elementtyper som eventuellt krävs (till exempel dagvattenkonstruktion, element som ska bevaras). Dessa uppgifter ska beaktas i beräkningen av grönkoefficienten och i utvärderingen av resultaten.
Rutan </t>
    </r>
    <r>
      <rPr>
        <b/>
        <sz val="10"/>
        <color theme="1"/>
        <rFont val="Arial"/>
        <family val="2"/>
      </rPr>
      <t>Beräkning av genomsnittligt djup för dagvattenhantering</t>
    </r>
    <r>
      <rPr>
        <sz val="10"/>
        <color theme="1"/>
        <rFont val="Arial"/>
        <family val="2"/>
      </rPr>
      <t xml:space="preserve"> ger hjälp med att beräkna djupet i genomsnitt för det fördröjningslager för dagvattenlösningar som behövs i frågorna 4 och 5. I figur 1 och figur 2 åskådliggörs de uppgifter som behövs vid beräkningen. I fälten införs ”Byggnadens bottenyta, m² (A1)”, ”Byggnadens högst belägna vattenyta, m² (A2)" samt dess ”Maximala djup” (h). Utgående från dessa bildas automatiskt ett kalkylerat </t>
    </r>
    <r>
      <rPr>
        <b/>
        <sz val="10"/>
        <color theme="1"/>
        <rFont val="Arial"/>
        <family val="2"/>
      </rPr>
      <t>Genomsnittsdjup</t>
    </r>
    <r>
      <rPr>
        <sz val="10"/>
        <color theme="1"/>
        <rFont val="Arial"/>
        <family val="2"/>
      </rPr>
      <t>. Konstruktionens genomsnittsdjup är ofta mindre än det maximala djupet på grund av konstruktionens form. Genomsnittsdjupet för en svagt sluttande konstruktion är betydligt mindre (0,3–0,5 gånger) än det maximala djupet. Om det i fördröjningskonstruktionen ingår en fördröjningsvolym ovanför den permanenta vattenytan (överläckageröret), kan genomsnittsdjupet beräknas för fördröjningslagret. Man kan också räkna ut ett dröjsmål för absorptionskonstruktionen om konstruktionen har planerats så att vattnet stannar (i en damm) ovanför jordlagret innan det absorberas. Det rekommenderade maximala djupet (h) för biofiltreringskonstruktionerna är cirka 0,3 m.</t>
    </r>
  </si>
  <si>
    <r>
      <rPr>
        <sz val="10"/>
        <color theme="1"/>
        <rFont val="Arial"/>
        <family val="2"/>
      </rPr>
      <t xml:space="preserve">I fliken </t>
    </r>
    <r>
      <rPr>
        <b/>
        <sz val="10"/>
        <color theme="1"/>
        <rFont val="Arial"/>
        <family val="2"/>
      </rPr>
      <t>grönkoefficient</t>
    </r>
    <r>
      <rPr>
        <sz val="10"/>
        <color theme="1"/>
        <rFont val="Arial"/>
        <family val="2"/>
      </rPr>
      <t xml:space="preserve"> införs de element som planerats för tomten: växtlighet och mark som bevaras, växtlighet som planteras och sås, gröntak och fasadvegetation, ytbeläggningar och dagvattenhanteringskonstruktioner samt bonuselement. 
Kolumnen ”Definition av element” innehåller en beskrivning av varje element. Närmare upplysningar om elementen (växtunderlagets djup, viktning) fås genom att man trycker på knappen ”Mer” i kolumnen elementtyp, varvid fliken ”Mer om grönkoefficienten” öppnas. Klicka på knappen Tillbaka till Grönkoefficienten så kommer du tillbaka till fliken.
I kolumnen ”Mängd” matas kvantitetsdata om element in i den form som kolumnen ”Enhet” anger (st., m², m3). Övriga uppgifter uppdateras automatiskt till fliken.
I kolumnen ”Viktning” syns den viktning som bestämts för varje element. I kolumnen ”Viktad areal, m²” bildas den inmatade arealen eller antalet och viktningen med beaktande av exempelvis den genomsnittliga yta som fastställts för trädens kronor och som framgår av kommentarerna till tilläggsuppgifterna i kolumnen ”Element”.
I mellanbladets vänstra övre hörn uppdateras automatiskt ”</t>
    </r>
    <r>
      <rPr>
        <b/>
        <sz val="10"/>
        <color theme="1"/>
        <rFont val="Arial"/>
        <family val="2"/>
      </rPr>
      <t>Grönkoefficienten</t>
    </r>
    <r>
      <rPr>
        <sz val="10"/>
        <color theme="1"/>
        <rFont val="Arial"/>
        <family val="2"/>
      </rPr>
      <t>” som beräknats enligt den sammanlagda viktade arealen och tomtens totala areal.</t>
    </r>
  </si>
  <si>
    <r>
      <rPr>
        <sz val="10"/>
        <color theme="1"/>
        <rFont val="Arial"/>
        <family val="2"/>
      </rPr>
      <t xml:space="preserve">I fliken </t>
    </r>
    <r>
      <rPr>
        <b/>
        <sz val="10"/>
        <color theme="1"/>
        <rFont val="Arial"/>
        <family val="2"/>
      </rPr>
      <t>grönkoefficient</t>
    </r>
    <r>
      <rPr>
        <sz val="10"/>
        <color theme="1"/>
        <rFont val="Arial"/>
        <family val="2"/>
      </rPr>
      <t xml:space="preserve"> har man dessutom uppskattat tomtens totala flödeskoefficient och utifrån den behovet av fördröjningsvolym på tomten. För alla elementtyper har en egen flödesfaktor uppskattats, på basis av den räknas automatiskt tomtens genomsnittliga ”Avrinningskoefficient C”.
"Behovet av fördröjning på tomten i m</t>
    </r>
    <r>
      <rPr>
        <vertAlign val="superscript"/>
        <sz val="10"/>
        <color theme="1"/>
        <rFont val="Arial"/>
        <family val="2"/>
      </rPr>
      <t>3</t>
    </r>
    <r>
      <rPr>
        <sz val="10"/>
        <color theme="1"/>
        <rFont val="Arial"/>
        <family val="2"/>
      </rPr>
      <t xml:space="preserve">" utgår från det behov av fördröjning som anges i planen och som väljs i fliken Avgränsningar samt från regnmängderna (”Nederbörden”). En vanlig dimensionering av regn för en tomt i syfte att fördröja dagvattnet är ett regn på 10 min en gång på 5 år, vars nederbörd är ca 150 l/s * ha, dvs. cirka 10 mm. Enligt statistiska undersökningar är ca 85–90% av regnmängderna i Finland 10 mm eller mindre. Mängden dagvatten har beräknats på följande sätt: Tomtens areal * tomtens genomsnittliga avrinningskoefficient * regnmängden * behovet av fördröjning som anges i planen.
Fliken </t>
    </r>
    <r>
      <rPr>
        <b/>
        <sz val="10"/>
        <color theme="1"/>
        <rFont val="Arial"/>
        <family val="2"/>
      </rPr>
      <t>dagvattenlösningar</t>
    </r>
    <r>
      <rPr>
        <sz val="10"/>
        <color theme="1"/>
        <rFont val="Arial"/>
        <family val="2"/>
      </rPr>
      <t xml:space="preserve"> innehåller närmare upplysningar om konstruktionernas egenskaper (bl.a. fördröjning och biofiltrering).</t>
    </r>
  </si>
  <si>
    <r>
      <rPr>
        <sz val="10"/>
        <color theme="1"/>
        <rFont val="Arial"/>
        <family val="2"/>
      </rPr>
      <t xml:space="preserve">I fliken </t>
    </r>
    <r>
      <rPr>
        <b/>
        <sz val="10"/>
        <color theme="1"/>
        <rFont val="Arial"/>
        <family val="2"/>
      </rPr>
      <t>Resultat</t>
    </r>
    <r>
      <rPr>
        <sz val="10"/>
        <color theme="1"/>
        <rFont val="Arial"/>
        <family val="2"/>
      </rPr>
      <t xml:space="preserve"> finns resultaten av beräkningen av grönkoefficienten och ifyllandet av naturräknaren. Beskrivningarna och tabellerna beskriver faktorerna som påverkar uppkomsten av grönkoefficienten och graden för utnyttjande av olika element. Avbildningen ”Andel av Grönkoefficientens viktade totala areal i procent” berättar hur stor andel av varje elementkategori som motsvarar det slutliga Grönkoefficient-talet. Diagrammet ”faktorer som betonas vid beräkningen, i procent” anger den relativa betydelsen av de faktorer som beaktas vid viktningen av elementen (ekologi, funktionalitet, landskapvärde, underhåll, dagvatten) för grönkoefficienten. Viktningen av varje element kan kontrolleras i fliken Mer (alternativknappar för fliken Grönkoefficient).
I punkten ”Kompletterande kommentarer” är det möjligt att lägga till kommentarer om kalkylen för egen del eller för andra granskare. Under punkten ”Ärenden som ska beaktas” skrivs resultaten av uträkningen automatiskt ut tillsammans med andra saker som ska beaktas.
</t>
    </r>
    <r>
      <rPr>
        <b/>
        <sz val="10"/>
        <color theme="1"/>
        <rFont val="Arial"/>
        <family val="2"/>
      </rPr>
      <t>När du har läst igenom anvisningen ska du klicka på Aloita (Starta) eller gå till önskad flik med hjälp av flikikonerna i nedre kanten.</t>
    </r>
  </si>
  <si>
    <r>
      <rPr>
        <b/>
        <sz val="10"/>
        <color theme="1"/>
        <rFont val="Arial"/>
        <family val="2"/>
      </rPr>
      <t>Ekologi</t>
    </r>
    <r>
      <rPr>
        <sz val="10"/>
        <color theme="1"/>
        <rFont val="Arial"/>
        <family val="2"/>
      </rPr>
      <t xml:space="preserve">
Kolbindning och kollagring, mångfald i arter och livsmiljöer, ekologiskt nätverk
</t>
    </r>
    <r>
      <rPr>
        <b/>
        <sz val="10"/>
        <color theme="1"/>
        <rFont val="Arial"/>
        <family val="2"/>
      </rPr>
      <t>viktning 1,59</t>
    </r>
  </si>
  <si>
    <r>
      <rPr>
        <b/>
        <sz val="10"/>
        <color theme="1"/>
        <rFont val="Arial"/>
        <family val="2"/>
      </rPr>
      <t>Funktionalitet</t>
    </r>
    <r>
      <rPr>
        <sz val="10"/>
        <color theme="1"/>
        <rFont val="Arial"/>
        <family val="2"/>
      </rPr>
      <t xml:space="preserve">
Utjämning och rengöring av mikroklimat (kylning, bindning av luftföroreningar, minskning av buller och vind, skydd mot insyn), matproduktion genom nyttoodling, lärande av naturen, lek, säkerhet
</t>
    </r>
    <r>
      <rPr>
        <b/>
        <sz val="10"/>
        <color theme="1"/>
        <rFont val="Arial"/>
        <family val="2"/>
      </rPr>
      <t>viktning 1,51</t>
    </r>
  </si>
  <si>
    <r>
      <rPr>
        <b/>
        <sz val="10"/>
        <color theme="1"/>
        <rFont val="Arial"/>
        <family val="2"/>
      </rPr>
      <t>Landskapsvärde</t>
    </r>
    <r>
      <rPr>
        <sz val="10"/>
        <color theme="1"/>
        <rFont val="Arial"/>
        <family val="2"/>
      </rPr>
      <t xml:space="preserve">
Anslutning till den omgivande stadsbilden, inverkan på landskapet
</t>
    </r>
    <r>
      <rPr>
        <b/>
        <sz val="10"/>
        <color theme="1"/>
        <rFont val="Arial"/>
        <family val="2"/>
      </rPr>
      <t>viktning 0,84</t>
    </r>
  </si>
  <si>
    <r>
      <rPr>
        <b/>
        <sz val="10"/>
        <color theme="1"/>
        <rFont val="Arial"/>
        <family val="2"/>
      </rPr>
      <t>Underhåll</t>
    </r>
    <r>
      <rPr>
        <sz val="10"/>
        <color theme="1"/>
        <rFont val="Arial"/>
        <family val="2"/>
      </rPr>
      <t xml:space="preserve">
Underhållets svårighetsgrad och underhållstillfällena
</t>
    </r>
    <r>
      <rPr>
        <b/>
        <sz val="10"/>
        <color theme="1"/>
        <rFont val="Arial"/>
        <family val="2"/>
      </rPr>
      <t>viktning 0,70</t>
    </r>
  </si>
  <si>
    <r>
      <rPr>
        <b/>
        <sz val="10"/>
        <color theme="1"/>
        <rFont val="Arial"/>
        <family val="2"/>
      </rPr>
      <t>Dagvatten</t>
    </r>
    <r>
      <rPr>
        <sz val="10"/>
        <color theme="1"/>
        <rFont val="Arial"/>
        <family val="2"/>
      </rPr>
      <t xml:space="preserve">
Kvantitativ och kvalitativ dagvattenhantering
</t>
    </r>
    <r>
      <rPr>
        <b/>
        <sz val="10"/>
        <color theme="1"/>
        <rFont val="Arial"/>
        <family val="2"/>
      </rPr>
      <t>viktning 1,25</t>
    </r>
  </si>
  <si>
    <r>
      <rPr>
        <sz val="11"/>
        <rFont val="Arial"/>
        <family val="2"/>
      </rPr>
      <t>Vattenelementet på tomten/i kvarteret omges av en minst 3,0 meter bred skyddszon som ska hållas i naturenligt tillstånd.</t>
    </r>
  </si>
  <si>
    <r>
      <rPr>
        <sz val="11"/>
        <rFont val="Arial"/>
        <family val="2"/>
      </rPr>
      <t>Placering av minst en fågel- eller fladdermusholk på tomten för varje del på 1 000 m² som ingår i tomtens/kvarterets areal</t>
    </r>
  </si>
  <si>
    <r>
      <rPr>
        <sz val="10"/>
        <color theme="1"/>
        <rFont val="Arial"/>
        <family val="2"/>
      </rPr>
      <t xml:space="preserve">Tack vare den långa livslängden och den stora biomassan har det en mycket stor betydelse för kolbindning och kollagring. Stora träd erbjuder mer livsrum för fler arter än mindre träd eller en buske. Särskilt de stora enskilda träd och trädgrupper som dominerar ett öppet landskap är en viktig naturtyp (4,13). Att lämna så kallade sparträd har inom skogsbruket konstaterats vara ett viktigt sätt att bevara livsmiljöer mellan avverkningsområden (6–8), dock med beaktande av att endast en del arter kan utnyttja dem. Obs! Djupt rotade träd som växt i skogen (till exempel tall) anpassar sig bättre till enstaka träd än ytrotade träd (till exempel gran), som ofta förfaller när de hamnar i annorlunda växtförhållanden. </t>
    </r>
  </si>
  <si>
    <r>
      <rPr>
        <sz val="10"/>
        <rFont val="Arial"/>
        <family val="2"/>
      </rPr>
      <t>Permanent ängsmark eller undervegetation i naturtillstånd medför samma nytta som träd och buskar som bevaras, men i mindre omfattning. Bevarandet av undervegetationen säkerställer att det kollager och markorganismer som ackumulerats i marken bevaras. Ängar och undervegetation i naturtillstånd har en särskild betydelse som näringskälla, livsmiljö och skyddsplats för många smådjur.</t>
    </r>
    <r>
      <rPr>
        <b/>
        <sz val="10"/>
        <rFont val="Arial"/>
        <family val="2"/>
      </rPr>
      <t xml:space="preserve"> </t>
    </r>
    <r>
      <rPr>
        <sz val="10"/>
        <rFont val="Arial"/>
        <family val="2"/>
      </rPr>
      <t>Det är ofta svårt att bevara undervegetationen, eftersom vegetationen är van vid vissa växtförhållanden (jfr. skogsvegetationen).</t>
    </r>
  </si>
  <si>
    <r>
      <rPr>
        <sz val="10"/>
        <rFont val="Arial"/>
        <family val="2"/>
      </rPr>
      <t>Ett berg i dagen är en särskilt viktig livsmiljö (4). Kala berg har sina egna arter, vilket innebär att ett berg som sparas som en del av gården/grönområdet ökar artmångfalden/naturens mångfald genom att det bildas mikrohabitat. Miljöpoängen minskas av den ogenomträngliga ytans negativa betydelse för hanteringen av dagvatten samt kolbindning och kollagring. Bergsvegetationen är dessutom mycket känslig för slitage, vilket minskar dess ekologiska värde om beträdande av berget inte begränsas.</t>
    </r>
  </si>
  <si>
    <r>
      <rPr>
        <sz val="10"/>
        <color theme="1"/>
        <rFont val="Arial"/>
        <family val="2"/>
      </rPr>
      <t xml:space="preserve">Ängar och fält (torra ängar) är ett mer ekologiskt (mindre krävande) och mångsidigt alternativ till gräsmatta. Ängar är av särskild betydelse för mångfalden, bland annat tack vare blommande växter som är till nytta för pollinerande insekter (13). En flerårig ängsvegetation bildar ett brett rotsystem som berikar markens verksamhet och organismer samt fungerar som kolsänka. </t>
    </r>
  </si>
  <si>
    <r>
      <rPr>
        <sz val="10"/>
        <color theme="1"/>
        <rFont val="Arial"/>
        <family val="2"/>
      </rPr>
      <t>Efter etableringen (slåtter några gånger per sommar) krävs underhåll 1–2 gånger per sommar, torra ängar t.o.m. mer sällan. Ängar och fält kräver mindre skötsel än exempelvis perenner eller gräsmatta. Ängen behöver inte bevattning, gödsling eller bekämpningsmedel.</t>
    </r>
  </si>
  <si>
    <r>
      <rPr>
        <sz val="10"/>
        <rFont val="Arial"/>
        <family val="2"/>
      </rPr>
      <t>Råhumus eller mår är ett mer ekologiskt, mångsidigt och mindre underhållskrävande alternativ till gräsmatta. Mårens växter ger näring, livsmiljöer och skyddsplatser för många smådjur. Koldioxidavtryck från insamling och transport av mår minskar mårens ekologi. Ekologin påverkas av mårens ursprung.</t>
    </r>
  </si>
  <si>
    <r>
      <rPr>
        <b/>
        <sz val="10"/>
        <color theme="1"/>
        <rFont val="Arial"/>
        <family val="2"/>
      </rPr>
      <t>Behov av fördröjningsvolym på tomt m</t>
    </r>
    <r>
      <rPr>
        <b/>
        <vertAlign val="superscript"/>
        <sz val="10"/>
        <color theme="1"/>
        <rFont val="Arial"/>
        <family val="2"/>
      </rPr>
      <t>3</t>
    </r>
  </si>
  <si>
    <r>
      <rPr>
        <b/>
        <sz val="10"/>
        <color theme="1"/>
        <rFont val="Arial"/>
        <family val="2"/>
      </rPr>
      <t>Fördröjningsfrekvens m</t>
    </r>
    <r>
      <rPr>
        <b/>
        <vertAlign val="superscript"/>
        <sz val="10"/>
        <color theme="1"/>
        <rFont val="Arial"/>
        <family val="2"/>
      </rPr>
      <t>3</t>
    </r>
    <r>
      <rPr>
        <b/>
        <sz val="10"/>
        <color theme="1"/>
        <rFont val="Arial"/>
        <family val="2"/>
      </rPr>
      <t xml:space="preserve"> för de föreslagna dagvattenlösningarna</t>
    </r>
  </si>
  <si>
    <r>
      <rPr>
        <b/>
        <sz val="10"/>
        <color theme="1"/>
        <rFont val="Arial"/>
        <family val="2"/>
      </rPr>
      <t>Stanna utan dröjsmål m</t>
    </r>
    <r>
      <rPr>
        <b/>
        <vertAlign val="superscript"/>
        <sz val="10"/>
        <color theme="1"/>
        <rFont val="Arial"/>
        <family val="2"/>
      </rPr>
      <t>3</t>
    </r>
  </si>
  <si>
    <r>
      <rPr>
        <sz val="12"/>
        <rFont val="Arial"/>
        <family val="2"/>
      </rPr>
      <t>Bostadsområden, höghusområden (e = 0,4–1,2)</t>
    </r>
  </si>
  <si>
    <r>
      <rPr>
        <sz val="12"/>
        <rFont val="Arial"/>
        <family val="2"/>
      </rPr>
      <t>Bostadsområden, tätt centrum (e =&gt; 1,2)</t>
    </r>
  </si>
  <si>
    <r>
      <rPr>
        <sz val="12"/>
        <rFont val="Arial"/>
        <family val="2"/>
      </rPr>
      <t>Träd som ska planteras</t>
    </r>
  </si>
  <si>
    <r>
      <rPr>
        <sz val="12"/>
        <color theme="1"/>
        <rFont val="Arial"/>
        <family val="2"/>
      </rPr>
      <t>Träd i gott skick som ska bevaras</t>
    </r>
  </si>
  <si>
    <r>
      <rPr>
        <sz val="12"/>
        <color theme="1"/>
        <rFont val="Arial"/>
        <family val="2"/>
      </rPr>
      <t>Stort (fullvuxet &gt; 10 m) långlivat</t>
    </r>
  </si>
  <si>
    <r>
      <rPr>
        <sz val="12"/>
        <color theme="1"/>
        <rFont val="Arial"/>
        <family val="2"/>
      </rPr>
      <t>Stort (fullvuxet &gt; 10 m) kortvarigt</t>
    </r>
  </si>
  <si>
    <r>
      <rPr>
        <sz val="12"/>
        <color theme="1"/>
        <rFont val="Arial"/>
        <family val="2"/>
      </rPr>
      <t>Småväxt (fullvuxet ≤ 10 m) långlivat</t>
    </r>
  </si>
  <si>
    <r>
      <rPr>
        <b/>
        <sz val="10"/>
        <color theme="1"/>
        <rFont val="Arial"/>
        <family val="2"/>
      </rPr>
      <t>Pienikokoinen (täysikasvuisena ≤ 10 m)  lyhytikäinen</t>
    </r>
  </si>
  <si>
    <r>
      <rPr>
        <sz val="12"/>
        <color theme="1"/>
        <rFont val="Arial"/>
        <family val="2"/>
      </rPr>
      <t>Småväxt (fullvuxet ≤ 10 m) kortvarigt</t>
    </r>
  </si>
  <si>
    <r>
      <rPr>
        <sz val="12"/>
        <rFont val="Arial"/>
        <family val="2"/>
      </rPr>
      <t>Bostadsområden – småhusområden och glesa höghusområden (e ≤ 0,4)</t>
    </r>
  </si>
  <si>
    <r>
      <rPr>
        <sz val="12"/>
        <color theme="1"/>
        <rFont val="Arial"/>
        <family val="2"/>
      </rPr>
      <t>Stor buske som ska bevaras (à 3 m2)</t>
    </r>
  </si>
  <si>
    <r>
      <rPr>
        <sz val="12"/>
        <color theme="1"/>
        <rFont val="Arial"/>
        <family val="2"/>
      </rPr>
      <t>Halvgenomsläppliga ytbeläggningar (såsom gräsarmeringssten, stenmjöl, bergskross, terrasser)</t>
    </r>
  </si>
  <si>
    <r>
      <rPr>
        <sz val="12"/>
        <color theme="1"/>
        <rFont val="Arial"/>
        <family val="2"/>
      </rPr>
      <t>Genomsläpppliga ytbeläggningar (såsom grus-, makadam- och sandytor)</t>
    </r>
  </si>
  <si>
    <r>
      <rPr>
        <sz val="12"/>
        <rFont val="Arial"/>
        <family val="2"/>
      </rPr>
      <t>Områden för service och kontorsbyggande</t>
    </r>
  </si>
  <si>
    <r>
      <rPr>
        <sz val="11"/>
        <rFont val="Arial"/>
        <family val="2"/>
      </rPr>
      <t>Minst hälften av de gräsarter eller ris som blir kvar, planteras eller sås är inhemska arter i naturtillstånd eller arter som förädlats av dem (areal för plantering)</t>
    </r>
  </si>
  <si>
    <r>
      <rPr>
        <sz val="11"/>
        <color theme="1"/>
        <rFont val="Arial"/>
        <family val="2"/>
      </rPr>
      <t>Åtgärder som ökar mängden murket trä</t>
    </r>
  </si>
  <si>
    <r>
      <rPr>
        <b/>
        <sz val="12"/>
        <color theme="1"/>
        <rFont val="Arial"/>
        <family val="2"/>
      </rPr>
      <t>Att stödja arterna genom att erbjuda växtplatser och livsmiljöer</t>
    </r>
  </si>
  <si>
    <r>
      <rPr>
        <b/>
        <sz val="10"/>
        <color theme="1"/>
        <rFont val="Arial"/>
        <family val="2"/>
      </rPr>
      <t>Minst 5 volymprocent biokol har använts i växtunderlag</t>
    </r>
  </si>
  <si>
    <r>
      <rPr>
        <sz val="11"/>
        <color theme="1"/>
        <rFont val="Arial"/>
        <family val="2"/>
      </rPr>
      <t>Minst hälften av de arter som används i planteringen av perenner är inhemska traditionsväxtarter eller förädlade arter av dem (planteringarnas areal)</t>
    </r>
  </si>
  <si>
    <r>
      <rPr>
        <sz val="11"/>
        <rFont val="Arial"/>
        <family val="2"/>
      </rPr>
      <t>ett minst 2 m långt staket av murket trä eller motsvarande konstruktion för bevarande av ett mindre murket träd</t>
    </r>
  </si>
  <si>
    <r>
      <rPr>
        <sz val="11"/>
        <color theme="1"/>
        <rFont val="Arial"/>
        <family val="2"/>
      </rPr>
      <t>en stubbe minst 0,5 m hög med en diameter på minst 0,5 meter</t>
    </r>
  </si>
  <si>
    <r>
      <rPr>
        <sz val="11"/>
        <color theme="1"/>
        <rFont val="Arial"/>
        <family val="2"/>
      </rPr>
      <t>ett minst 1,5 m högt dött stående träd (toppen kan ha kapats)</t>
    </r>
  </si>
  <si>
    <r>
      <rPr>
        <sz val="11"/>
        <color theme="1"/>
        <rFont val="Arial"/>
        <family val="2"/>
      </rPr>
      <t>en stam som är minst 1,5 m lång och har en diameter på minst 0,3 m (hämtad till tomten eller fälld på tomten)</t>
    </r>
  </si>
  <si>
    <r>
      <rPr>
        <sz val="12"/>
        <rFont val="Arial"/>
        <family val="2"/>
      </rPr>
      <t>m2</t>
    </r>
  </si>
  <si>
    <r>
      <rPr>
        <sz val="12"/>
        <rFont val="Arial"/>
        <family val="2"/>
      </rPr>
      <t>Vegetationsområden där man har utnyttjat mark som härstammar från tomten</t>
    </r>
  </si>
  <si>
    <r>
      <rPr>
        <sz val="12"/>
        <rFont val="Arial"/>
        <family val="2"/>
      </rPr>
      <t>Växtunderlag med minst 5 volymprocent biokol</t>
    </r>
  </si>
  <si>
    <r>
      <rPr>
        <b/>
        <sz val="10"/>
        <color theme="1"/>
        <rFont val="Arial"/>
        <family val="2"/>
      </rPr>
      <t>Träd i gott skick, litet (fullvuxet ≤ 10 m) kortlivat (lever kortare tid än 150 år)</t>
    </r>
  </si>
  <si>
    <r>
      <rPr>
        <sz val="10"/>
        <color theme="1"/>
        <rFont val="Arial"/>
        <family val="2"/>
      </rPr>
      <t xml:space="preserve">Stora träd med kort livslängd har samma fördelar som stora träd med lång livslängd, men kortare livslängd minskar den långsiktiga betydelsen i synnerhet när det gäller kolbindning. Också livsmiljöns betydelse blir mindre. Obs! Djupt rotade träd som växt i skogen (till exempel tall) anpassar sig bättre som enstaka träd än ytrotade träd (till exempel gran), som ofta förfaller när de hamnar i annorlunda växtförhållanden. </t>
    </r>
  </si>
  <si>
    <r>
      <rPr>
        <b/>
        <sz val="10"/>
        <color theme="1"/>
        <rFont val="Arial"/>
        <family val="2"/>
      </rPr>
      <t>Stor buske som ska bevaras, à 3 m², växtunderlag som ska bevaras 3 m²</t>
    </r>
  </si>
  <si>
    <r>
      <rPr>
        <sz val="10"/>
        <color theme="1"/>
        <rFont val="Arial"/>
        <family val="2"/>
      </rPr>
      <t>Stora träd med kort livslängd har samma fördelar som stora träd med lång livslängd, men kortare livslängd minskar den långsiktiga betydelsen. Träd kan också ha betydelse för nyttoodling, om det är fråga om fruktträd.  Att bevara ett träd i gott skick medför inga säkerhetsrisker, om trädets rötter och stam skyddas under byggnadsskedet. Obs! Djupt rotade träd som växt i skogen (till exempel tall) anpassar sig bättre som enstaka träd än ytrotade träd (till exempel gran), som ofta förfaller när de hamnar i annorlunda växtförhållanden.</t>
    </r>
  </si>
  <si>
    <r>
      <rPr>
        <sz val="10"/>
        <color theme="1"/>
        <rFont val="Arial"/>
        <family val="2"/>
      </rPr>
      <t>Färdiga små kortvariga träd medför samma fördelar som stora kortvariga träd, men i mindre omfattning. Obs! Djupt rotade träd som växt i skogen (till exempel tall) anpassar sig bättre som enstaka träd än ytrotade träd (till exempel gran), som ofta förfaller när de hamnar i annorlunda växtförhållanden.</t>
    </r>
  </si>
  <si>
    <r>
      <rPr>
        <sz val="10"/>
        <color theme="1"/>
        <rFont val="Arial"/>
        <family val="2"/>
      </rPr>
      <t>Ett färdigt litet träd med lång livslängd medför samma nytta som ett stort träd med lång livslängd, men i mindre omfattning. Obs! Djupt rotade träd som växt i skogen (till exempel tall) anpassar sig bättre som enstaka träd än ytrotade träd (till exempel gran), som ofta förfaller när de hamnar i annorlunda växtförhållanden.</t>
    </r>
  </si>
  <si>
    <r>
      <rPr>
        <b/>
        <sz val="16"/>
        <color theme="1"/>
        <rFont val="Arial"/>
        <family val="2"/>
      </rPr>
      <t>Behov av fördröjningsvolym på tomt m</t>
    </r>
    <r>
      <rPr>
        <b/>
        <vertAlign val="superscript"/>
        <sz val="16"/>
        <color theme="1"/>
        <rFont val="Arial"/>
        <family val="2"/>
      </rPr>
      <t>3</t>
    </r>
  </si>
  <si>
    <r>
      <rPr>
        <sz val="10"/>
        <color theme="1"/>
        <rFont val="Arial"/>
        <family val="2"/>
      </rPr>
      <t>Vakiintuneella, täysikasvuisena suuren koon saavuttavalla pitkäikäisellä puulla on erittäin suuri maisema-arvo, sillä se lieventää siirtymää rakentamattomasta maankäytöstä rakennettuun. Kaupunkimetsien on havaittu vaikuttavan positiivisesti tonttien hintoihin (3). Säilytettävä kasvillisuus on usein merkittävämpi maisemaelementti kuin istutettava kasvillisuus, jolla voi kestää useita vuosia vakiintua ja saavuttaa vastaava koko. Pitkäikäiset puut mahdollistavat ylisukupolvisen maisemakokemuksen ja -elementin. Maisema-arvoon vaikuttaa merkittävästi säilytettävän kasvillisuuden kunto. Syväjuuriset, metsässä kasvaneet puut (esim. mänty) sopeutuvat paremmin yksittäispuiksi kuin pintajuuriset puut (esim. kuusi), jotka usein ränsistyvät joutuessaan erilaisiin kasvuoloihin.</t>
    </r>
  </si>
  <si>
    <r>
      <rPr>
        <sz val="10"/>
        <color theme="1"/>
        <rFont val="Arial"/>
        <family val="2"/>
      </rPr>
      <t>Vakiintuneella, täysikasvuisena suuren koon saavuttavalla pitkäikäisellä puulla on erittäin suuri merkitys hulevesien hallinnalle juuriston sitoman veden ja latvuston varastoiman sadeveden (interseptiohaihdunnan) ansiosta (11).</t>
    </r>
  </si>
  <si>
    <r>
      <rPr>
        <sz val="10"/>
        <color theme="1"/>
        <rFont val="Arial"/>
        <family val="2"/>
      </rPr>
      <t>Vakiintuneella, täysikasvuisena suuren koon saavuttavalla lyhytikäisellä puulla on samat hyödyt maisema-arvon kannalta kuin pitkäikäisellä suurella puulla. Lyhytikäisiltä puilta jää puuttumaan ylisukupolvinen maisema-arvo. Maisema-arvoon vaikuttaa merkittävästi säilytettävän kasvillisuuden kunto sekä laji. Syväjuuriset, metsässä kasvaneet puut (esim. mänty) sopeutuvat paremmin yksittäispuiksi kuin pintajuuriset puut (esim. kuusi), jotka usein ränsistyvät joutuessaan erilaisiin kasvuoloihin.</t>
    </r>
  </si>
  <si>
    <r>
      <rPr>
        <sz val="10"/>
        <color theme="1"/>
        <rFont val="Arial"/>
        <family val="2"/>
      </rPr>
      <t>Sama hoitotarve kuin isolla pitkäikäisellä säilytettävällä puulla.</t>
    </r>
  </si>
  <si>
    <r>
      <rPr>
        <sz val="10"/>
        <color theme="1"/>
        <rFont val="Arial"/>
        <family val="2"/>
      </rPr>
      <t>Vakiintuneella täysikasvuisena suuren koon saavuttavalla lyhytikäisellä puulla on samat hyödyt kuin pitkäikäisellä suurella puulla.</t>
    </r>
  </si>
  <si>
    <r>
      <rPr>
        <sz val="10"/>
        <color theme="1"/>
        <rFont val="Arial"/>
        <family val="2"/>
      </rPr>
      <t>Vakiintuneella, täysikasvuisena pienellä  pitkäikäisellä puulla on samat hyödyt kuin pitkäikäisellä suurella puulla, mutta pienemmässä mittakaavassa.</t>
    </r>
  </si>
  <si>
    <r>
      <rPr>
        <sz val="10"/>
        <color theme="1"/>
        <rFont val="Arial"/>
        <family val="2"/>
      </rPr>
      <t>Vakiintuneella, täysikasvuisena pienellä lyhytikäisellä puulla on samat hyödyt kuin pitkäikäisellä pienellä puulla.</t>
    </r>
  </si>
  <si>
    <r>
      <rPr>
        <sz val="10"/>
        <color theme="1"/>
        <rFont val="Arial"/>
        <family val="2"/>
      </rPr>
      <t>Isokokoisella, pitkäikäisellä istutettavalla puulla on samat hyödyt kuin vastaavalla säilytettävällä puulla, mutta hyödyt realisoituvat usein vasta vuosien päästä. Pitkäikäisten, puuvartisten kasvien merkitys hiilensidonnalle ja varastoinnille on erityisen suuri.</t>
    </r>
  </si>
  <si>
    <r>
      <rPr>
        <sz val="10"/>
        <color theme="1"/>
        <rFont val="Arial"/>
        <family val="2"/>
      </rPr>
      <t>Isokokoisella pitkäikäisellä istutettavalla puulla on samat hyödyt kuin vastaavalla säilytettävällä puulla, mutta hyödyt realisoituvat usein vasta vuosien päästä. Istutettavan puun hyötyjä pienilmaston säätelyssä lisää kuitenkin mahdollisuus puulajin ja istutuspaikan määrittämiseen rakennukseen nähden, mikä ei ole mahdollista säilytettävällä kasvillisuudella.</t>
    </r>
  </si>
  <si>
    <r>
      <rPr>
        <sz val="10"/>
        <color theme="1"/>
        <rFont val="Arial"/>
        <family val="2"/>
      </rPr>
      <t>Isokokoisella pitkäikäisellä istutettavalla puulla on samat hyödyt kuin vastaavalla säilytettävällä puulla, mutta hyödyt realisoituvat usein vasta vuosien päästä. Istutettavan puun maisema-arvoa lisää kuitenkin mahdollisuus puulajin ja istutuspaikan määrittämiseen rakennukseen nähden, mikä ei ole mahdollista säilytettävällä kasvillisuudella. Pitkäikäiset puut ovat usein hidaskasvuisia, mutta maisemallinen arvo säilyy ylisukupolvisena.</t>
    </r>
  </si>
  <si>
    <r>
      <rPr>
        <sz val="10"/>
        <color theme="1"/>
        <rFont val="Arial"/>
        <family val="2"/>
      </rPr>
      <t>Isokokoisella pitkäikäisellä istutettavalla puulla on samat hyödyt kuin vastaavalla säilytettävällä puulla, mutta hyödyt realisoituvat usein vasta vuosien päästä.</t>
    </r>
  </si>
  <si>
    <r>
      <rPr>
        <sz val="10"/>
        <color theme="1"/>
        <rFont val="Arial"/>
        <family val="2"/>
      </rPr>
      <t xml:space="preserve">Isokokoisella lyhytikäisellä istutettavalla puulla on samat hyödyt kuin vastaavalla säilyvällä puulla, mutta hyödyt realisoituvat usein vasta vuosien päästä. Lyhytikäiset puut kasvavat usein nopeasti, ja osa hyödyistä saattaa realisoitua nopeammin kuin pitkäikäisillä puilla. Pitkäikäisyys kuitenkin tuo pidemmällä aikajänteellä enemmän kertautuvia hyötyjä. Puulla voi olla merkitystä myös hyötyviljelyn kannalta, mikäli kyseessä on hedelmäpuu.  </t>
    </r>
  </si>
  <si>
    <r>
      <rPr>
        <sz val="10"/>
        <color theme="1"/>
        <rFont val="Arial"/>
        <family val="2"/>
      </rPr>
      <t>Isokokoisella lyhytikäisellä istutettavalla puulla on samat hyödyt kuin vastaavalla säilyvällä puulla, mutta hyödyt realisoituvat usein vasta vuosien päästä. Lyhytikäiset puut kasvavat usein nopeasti, ja maisemallinen arvo saavutetaan nopeammin kuin pitkäikäisillä puilla. Pitkäikäiset puut säilyvät maisemassa kuitenkin selvästi pidempään.</t>
    </r>
  </si>
  <si>
    <r>
      <rPr>
        <sz val="10"/>
        <color theme="1"/>
        <rFont val="Arial"/>
        <family val="2"/>
      </rPr>
      <t>Sama hoitotarve kuin isoilla pitkäikäisillä puilla.</t>
    </r>
  </si>
  <si>
    <r>
      <rPr>
        <sz val="10"/>
        <color theme="1"/>
        <rFont val="Arial"/>
        <family val="2"/>
      </rPr>
      <t>Isokokoisella lyhytikäisellä istutettavalla puulla on samat hyödyt kuin istutettavalla pitkäikäisellä isolla puulla.</t>
    </r>
  </si>
  <si>
    <r>
      <rPr>
        <sz val="10"/>
        <color theme="1"/>
        <rFont val="Arial"/>
        <family val="2"/>
      </rPr>
      <t>Pienikokoisella pitkäikäisellä istutettavalla puulla on samat hyödyt kuin samanlaisella säilytettävällä  puulla, mutta hyödyt realisoituvat usein vasta vuosien päästä. Hyödyt toteutuvat pienemmässä mittakaavassa kuin suurikokoisella puulla (kasvin ja kasvualustan koko).</t>
    </r>
  </si>
  <si>
    <r>
      <rPr>
        <sz val="10"/>
        <color theme="1"/>
        <rFont val="Arial"/>
        <family val="2"/>
      </rPr>
      <t>Pienikokoisella pitkäikäisellä istutettavalla puulla on samat hyödyt kuin vastaavalla säilytettävällä puulla, mutta hyödyt realisoituvat usein vasta vuosien päästä. Istutettavan puun hyötyjä pienilmaston säätelyssä lisää kuitenkin mahdollisuus puulajin ja istutuspaikan määrittämiseen rakennukseen nähden, mikä ei ole mahdollista säilytettävällä kasvillisuudella.</t>
    </r>
  </si>
  <si>
    <r>
      <rPr>
        <sz val="10"/>
        <color theme="1"/>
        <rFont val="Arial"/>
        <family val="2"/>
      </rPr>
      <t>Pienikokoisella pitkäikäisellä istutettavalla puulla on samat hyödyt kuin vastaavalla säilytettävällä puulla, mutta hyödyt realisoituvat usein vasta vuosien päästä. Istutettavan puun maisema-arvoa lisää kuitenkin mahdollisuus puulajin ja istutuspaikan määrittämiseen rakennukseen nähden, mikä ei ole mahdollista säilytettävällä kasvillisuudella. Pitkäikäiset puut ovat usein hidaskasvuisia, mutta maisemallinen arvo säilyy ylisukupolvisena.</t>
    </r>
  </si>
  <si>
    <r>
      <rPr>
        <sz val="10"/>
        <color theme="1"/>
        <rFont val="Arial"/>
        <family val="2"/>
      </rPr>
      <t>Pienikokoisella pitkäikäisellä istutettavalla puulla on samankaltaiset hyödyt kuin istutettavalla pitkäikäisellä isolla puulla, mutta pienemmässä mittakaavassa (kasvin ja kasvualustan koko).</t>
    </r>
  </si>
  <si>
    <r>
      <rPr>
        <sz val="10"/>
        <color theme="1"/>
        <rFont val="Arial"/>
        <family val="2"/>
      </rPr>
      <t>Pienikokoisella lyhytikäisellä istutettavalla puulla on samat hyödyt kuin vastaavalla pitkäikäisellä puulla, mutta lyhytikäisyys pienentää merkitystä pitkäikäiseen verrattuna hyötyjen pitkäaikaisessa kertymisessä.</t>
    </r>
  </si>
  <si>
    <r>
      <rPr>
        <sz val="10"/>
        <color theme="1"/>
        <rFont val="Arial"/>
        <family val="2"/>
      </rPr>
      <t>Pienikokoisella lyhytikäisellä istutettavalla puulla on samat hyödyt kuin vastaavalla säilyvällä puulla, mutta hyödyt realisoituvat usein vasta vuosien päästä. Lyhytikäiset puut kasvavat usein nopeasti, ja maisemallinen arvo saavutetaan nopeammin kuin pitkäikäisillä puilla. Pitkäikäiset puut säilyvät maisemassa kuitenkin selvästi pidempään.</t>
    </r>
  </si>
  <si>
    <r>
      <rPr>
        <sz val="10"/>
        <color theme="1"/>
        <rFont val="Arial"/>
        <family val="2"/>
      </rPr>
      <t>Pienikokoisella lyhytikäisellä istutettavalla puulla on samankaltaiset hyödyt kuin istutettavalla lyhytikäisellä isolla puulla, mutta pienemmässä mittakaavassa (kasvin ja kasvualustan koko).</t>
    </r>
  </si>
  <si>
    <r>
      <rPr>
        <b/>
        <sz val="10"/>
        <color theme="1"/>
        <rFont val="Arial"/>
        <family val="2"/>
      </rPr>
      <t>Stort träd (&gt; 10 m som fullvuxet) långlivat (lever längre än 150 år, till exempel skogstall, skogsgran, skogsek, skogslind)</t>
    </r>
  </si>
  <si>
    <r>
      <rPr>
        <b/>
        <sz val="10"/>
        <color theme="1"/>
        <rFont val="Arial"/>
        <family val="2"/>
      </rPr>
      <t>Stort träd (&gt; 10 m som fullvuxet) kortlivat (lever kortare tid än 150 år, till exempel glasbjörk, gråal, sälg)</t>
    </r>
  </si>
  <si>
    <r>
      <rPr>
        <sz val="10"/>
        <color theme="1"/>
        <rFont val="Arial"/>
        <family val="2"/>
      </rPr>
      <t>Ett litet träd som planteras medför samma nytta som ett stort träd som planteras, men i mindre omfattning (växtens och växtunderlagets storlek). En kort ålder minskar betydelsen av kolbindning.</t>
    </r>
  </si>
  <si>
    <r>
      <rPr>
        <sz val="10"/>
        <color theme="1"/>
        <rFont val="Arial"/>
        <family val="2"/>
      </rPr>
      <t>Ett litet träd som planteras medför samma nytta som ett stort träd som planteras, men i mindre omfattning (växtens och växtunderlagets storlek).  Långlivade växter med träig stam har en särskilt stor betydelse för kolbindning och kollagring.</t>
    </r>
  </si>
  <si>
    <r>
      <rPr>
        <sz val="10"/>
        <color theme="1"/>
        <rFont val="Arial"/>
        <family val="2"/>
      </rPr>
      <t xml:space="preserve">Stora träd som planteras ger samma fördelar som stora träd som bevaras. Träd kan också ha betydelse för nyttoodling, om det är fråga om fruktträd.  En kort ålder minskar det funktionella värdet. </t>
    </r>
  </si>
  <si>
    <r>
      <rPr>
        <sz val="10"/>
        <color theme="1"/>
        <rFont val="Arial"/>
        <family val="2"/>
      </rPr>
      <t>Små träd som planteras medför samma nytta som små träd som bevaras. Träd kan också ha betydelse för nyttoodling, om det är fråga om fruktträd. Den långa livscykeln ökar värdet för verksamheten.</t>
    </r>
  </si>
  <si>
    <r>
      <rPr>
        <sz val="10"/>
        <color theme="1"/>
        <rFont val="Arial"/>
        <family val="2"/>
      </rPr>
      <t xml:space="preserve">Ett litet träd som planteras medför samma nytta som ett litet träd som bevaras. Träd kan också ha betydelse för nyttoodling, om det är fråga om fruktträd.  En kort livscykel minskar det funktionella värdet. </t>
    </r>
  </si>
  <si>
    <r>
      <rPr>
        <sz val="10"/>
        <color theme="1"/>
        <rFont val="Arial"/>
        <family val="2"/>
      </rPr>
      <t xml:space="preserve">Stora träd som planteras har samma fördelar som motsvarande stora träd som bevaras. En kort ålder minskar landskapsvärdet. </t>
    </r>
  </si>
  <si>
    <r>
      <rPr>
        <sz val="10"/>
        <color theme="1"/>
        <rFont val="Arial"/>
        <family val="2"/>
      </rPr>
      <t>Ett litet planterat träd medför samma nytta som ett motsvarande litet träd som bevaras. Den långa livscykeln ökar landskapsvärdet.</t>
    </r>
  </si>
  <si>
    <r>
      <rPr>
        <sz val="10"/>
        <color theme="1"/>
        <rFont val="Arial"/>
        <family val="2"/>
      </rPr>
      <t xml:space="preserve">Ett litet planterat träd medför samma nytta som ett motsvarande litet träd som bevaras. En kort livscykel minskar landskapsvärdet. </t>
    </r>
  </si>
  <si>
    <r>
      <rPr>
        <sz val="10"/>
        <color theme="1"/>
        <rFont val="Arial"/>
        <family val="2"/>
      </rPr>
      <t>Samma behov av skötsel som för små träd.</t>
    </r>
  </si>
  <si>
    <r>
      <rPr>
        <sz val="10"/>
        <color theme="1"/>
        <rFont val="Arial"/>
        <family val="2"/>
      </rPr>
      <t xml:space="preserve">Ett stort planterat träd medför samma nytta som motsvarande träd som bevaras, men nyttan realiseras ofta först flera år efter planteringen. </t>
    </r>
  </si>
  <si>
    <r>
      <rPr>
        <sz val="10"/>
        <color theme="1"/>
        <rFont val="Arial"/>
        <family val="2"/>
      </rPr>
      <t>Stora träd som planteras medför samma nytta som stora träd som bevaras, men en kort ålder minskar trädets inverkan på dagvattenhanteringen. Fördelarna för dagvattenhanteringen realiseras ofta först flera år efter planteringen.</t>
    </r>
  </si>
  <si>
    <r>
      <rPr>
        <sz val="10"/>
        <color theme="1"/>
        <rFont val="Arial"/>
        <family val="2"/>
      </rPr>
      <t xml:space="preserve">Ett litet planterat träd medför samma nytta som ett likadant träd som ska bevaras, men nyttan realiseras ofta först om flera år. </t>
    </r>
  </si>
  <si>
    <r>
      <rPr>
        <sz val="10"/>
        <color theme="1"/>
        <rFont val="Arial"/>
        <family val="2"/>
      </rPr>
      <t>Ett litet träd som planteras medför samma nytta som ett litet träd som bevaras, men en kort livscykel minskar trädets inverkan på dagvattenhanteringen. Fördelarna för dagvattenhanteringen realiseras ofta först flera år efter planteringen.</t>
    </r>
  </si>
  <si>
    <r>
      <rPr>
        <sz val="10"/>
        <color theme="1"/>
        <rFont val="Arial"/>
        <family val="2"/>
      </rPr>
      <t>Färdiga små träd med lång livslängd medför samma nytta som stora träd, men i mindre omfattning. Träd kan också ha betydelse för nyttoodling, om det är fråga om fruktträd.  Att bevara ett träd i gott skick medför inga säkerhetsrisker, om trädets rötter och stam skyddas under byggnadsskedet. Obs! Djupt rotade träd som växt i skogen (till exempel tall) anpassar sig bättre som enstaka träd än ytrotade träd (till exempel gran), som ofta förfaller när de hamnar i annorlunda växtförhållanden.</t>
    </r>
  </si>
  <si>
    <r>
      <rPr>
        <sz val="10"/>
        <color theme="1"/>
        <rFont val="Arial"/>
        <family val="2"/>
      </rPr>
      <t>Ett färdigt mindre träd medför samma nytta som ett stort träd, men i mindre omfattning. Träd kan också ha betydelse för nyttoodling, om det är fråga om fruktträd.  Att bevara ett träd i gott skick medför inga säkerhetsrisker, om trädets rötter och stam skyddas under byggnadsskedet. Obs! Djupt rotade träd som växt i skogen (till exempel tall) anpassar sig bättre som enstaka träd än ytrotade träd (till exempel gran), som ofta förfaller när de hamnar i annorlunda växtförhållanden.</t>
    </r>
  </si>
  <si>
    <r>
      <rPr>
        <sz val="10"/>
        <color theme="1"/>
        <rFont val="Arial"/>
        <family val="2"/>
      </rPr>
      <t>Samma nytta som med över 3 meter höga träd som ska bevaras, men i mindre omfattning.</t>
    </r>
  </si>
  <si>
    <r>
      <rPr>
        <sz val="10"/>
        <color theme="1"/>
        <rFont val="Arial"/>
        <family val="2"/>
      </rPr>
      <t>Pitkäikäisyyden ja suuren biomassan ansiosta erittäin suuri merkitys hiilensidonnalle ja -varastoinnille. Suuret puut tarjoavat enemmän elintilaa useammalle lajille kuin pienempi puu tai pensas. Erityisesti avointa maisemaa hallitsevat, suuret yksittäiset puut ja puuryhmät ovat tärkeä luontotyyppi (4,13). Ns. säästöpuiden jättäminen on metsätaloudessa havaittu merkittäväksi keinoksi säilyttää elinympäristöjä hakkuiden välillä (6-8), huomioiden kuitenkin, että vain osa lajeista kykenee hyödyntämään niitä. Huom. Syväjuuriset, metsässä kasvaneet puut (esim. mänty) sopeutuvat paremmin yksittäispuiksi kuin pintajuuriset puut (esim. kuusi), jotka usein ränsistyvät joutuessaan erilaisiin kasvuoloihin.</t>
    </r>
  </si>
  <si>
    <r>
      <rPr>
        <sz val="10"/>
        <color theme="1"/>
        <rFont val="Arial"/>
        <family val="2"/>
      </rPr>
      <t>Vakiintuneella pienellä pitkäikäisellä puulla on samat hyödyt kuin pitkäikäisellä suurella puulla, mutta pienemmässä mittakaavassa.</t>
    </r>
  </si>
  <si>
    <r>
      <rPr>
        <sz val="10"/>
        <color theme="1"/>
        <rFont val="Arial"/>
        <family val="2"/>
      </rPr>
      <t xml:space="preserve">Vakiintuneella pienellä lyhytikäisellä puulla on samat hyödyt kuin suurella lyhytikäisellä puulla, mutta pienemmässä mittakaavassa. </t>
    </r>
  </si>
  <si>
    <r>
      <rPr>
        <sz val="10"/>
        <color theme="1"/>
        <rFont val="Arial"/>
        <family val="2"/>
      </rPr>
      <t>Vakiintuneella pienellä pitkäikäisellä puulla on samat hyödyt kuin suurella pitkäikäisellä puulla, mutta pienemmässä mittakaavassa. Puulla voi olla merkitystä myös hyötyviljelyn kannalta, mikäli kyseessä on hedelmäpuu.  Hyväkuntoisen puun säilyttämisessä ei ole turvallisuusriskejä, mikäli puun juuriston ja rungon suojauksesta huolehditaan rakennusvaiheessa.</t>
    </r>
  </si>
  <si>
    <r>
      <rPr>
        <sz val="10"/>
        <color theme="1"/>
        <rFont val="Arial"/>
        <family val="2"/>
      </rPr>
      <t>Vakiintuneella pienellä lyhytikäisellä puulla on samat hyödyt kuin suurella lyhytikäisellä puulla, mutta pienemmässä mittakaavassa. Puulla voi olla merkitystä myös hyötyviljelyn kannalta, mikäli kyseessä on hedelmäpuu.  Hyväkuntoisen puun säilyttämisessä ei ole turvallisuusriskejä, mikäli puun juuriston ja rungon suojauksesta huolehditaan rakennusvaiheessa.</t>
    </r>
  </si>
  <si>
    <r>
      <rPr>
        <sz val="10"/>
        <color theme="1"/>
        <rFont val="Arial"/>
        <family val="2"/>
      </rPr>
      <t>Vakiintuneella, täysikasvuisena pienen koon saavuttavalla pitkäikäisellä puulla on samat hyödyt maisema-arvon kannalta kuin pitkäikäisellä suurella puulla. Koko arvioidaan maiseman kannalta toissijaiseksi, sillä puiden säilyttäminen on sinänsä on arvokasta. Maisema-arvoon vaikuttaa merkittävästi säilytettävän kasvillisuuden kunto sekä laji.</t>
    </r>
  </si>
  <si>
    <r>
      <rPr>
        <sz val="10"/>
        <color theme="1"/>
        <rFont val="Arial"/>
        <family val="2"/>
      </rPr>
      <t>Vakiintuneella, täysikasvuisena pienen koon saavuttavalla lyhytikäisellä puulla on samat hyödyt maisema-arvon kannalta kuin lyhytikäisellä suurella puulla. Koko arvioidaan maiseman kannalta toissijaiseksi, sillä puiden säilyttäminen on sinänsä on arvokasta. Maisema-arvoon vaikuttaa merkittävästi säilytettävän kasvillisuuden kunto sekä laji.</t>
    </r>
  </si>
  <si>
    <r>
      <rPr>
        <sz val="10"/>
        <color theme="1"/>
        <rFont val="Arial"/>
        <family val="2"/>
      </rPr>
      <t>Hoitotarve kerran vuodessa tai harvemmin rakennusvaiheen suojaamisen jälkeen. Lannoitus (n. kerran vuodessa) sekä puun kunnon tarkkailu ja  vaarallisten oksien poisto  tarpeen alueilla, jossa puu voi kaatussaan aiheuttaa turvallisuusriskin. Terveydentilan heikentymisestä kertovat usein latvuston kellastuminen ja harventuminen sekä pienentyneet lehdet. Jalopuut kestävät tyypillisesti hyvin lahovikoja toisin kuin esimerkiksi koivu</t>
    </r>
  </si>
  <si>
    <r>
      <rPr>
        <sz val="10"/>
        <color theme="1"/>
        <rFont val="Arial"/>
        <family val="2"/>
      </rPr>
      <t xml:space="preserve">Isokokoisella, pitkäikäisellä istutettavalla puulla on samat hyödyt kuin vastaavalla säilytettävällä puulla, mutta hyödyt realisoituvat usein vasta vuosien päästä. Lyhytikäisyys pienentää merkitystä pitkäikäiseen verrattuna hyötyjen pitkäaikaisessa kertymisessä. </t>
    </r>
  </si>
  <si>
    <r>
      <rPr>
        <sz val="10"/>
        <color theme="1"/>
        <rFont val="Arial"/>
        <family val="2"/>
      </rPr>
      <t>Pienikokoisella lyhytikäisellä istutettavalla puulla on samat hyödyt kuin vastaavalla säilyvällä puulla, mutta hyödyt realisoituvat usein vasta vuosien päästä. Lyhytikäiset puut kasvavat usein nopeasti, ja osa hyödyistä saattaa realisoitua nopeammin kuin pitkäikäisillä puilla. Pitkäikäisyys kuitenkin tuo pidemmällä aikajänteellä enemmän kertautuvia hyötyjä. Puulla voi olla merkitystä myös hyötyviljelyn kannalta, mikäli kyseessä on hedelmäpuu.</t>
    </r>
  </si>
  <si>
    <r>
      <rPr>
        <sz val="10"/>
        <color theme="1"/>
        <rFont val="Arial"/>
        <family val="2"/>
      </rPr>
      <t>Samat hoitotoimenpiteet kuin isoilla pitkäikäisillä puilla. Lyhytikäinen puu joudutaan uusimaan nopeammin. Toisaalta vanhat puut voivat vaatia enemmän hoitoa.</t>
    </r>
  </si>
  <si>
    <r>
      <rPr>
        <sz val="10"/>
        <color theme="1"/>
        <rFont val="Arial"/>
        <family val="2"/>
      </rPr>
      <t xml:space="preserve">Samat hoitotoimenpiteet kuin isoilla pitkäikäisillä puilla. Lyhytikäinen puu joudutaan uusimaan nopeammin. Toisaalta vanhat puut voivat vaatia enemmän hoitoa. </t>
    </r>
  </si>
  <si>
    <r>
      <rPr>
        <b/>
        <sz val="10"/>
        <color theme="1"/>
        <rFont val="Arial"/>
        <family val="2"/>
      </rPr>
      <t>Vid anläggning av ängar och andra ekologiska växtförädlingsområden på tomten har man utnyttjat den ytmark/det jordmaterial som fås från tomten</t>
    </r>
  </si>
  <si>
    <r>
      <rPr>
        <sz val="10"/>
        <rFont val="Arial"/>
        <family val="2"/>
      </rPr>
      <t xml:space="preserve">Huokoisempi maa-aines ja biohiili itsessään mahdollistaa maaperäeliöstön hyvinvoinnin monin eri tavoin. Vähentää ravinteiden huuhtoutumista. Biohiili muodostaa maaperään pysyvän hiilivaraston. </t>
    </r>
  </si>
  <si>
    <r>
      <rPr>
        <sz val="10"/>
        <color theme="1"/>
        <rFont val="Arial"/>
        <family val="2"/>
      </rPr>
      <t xml:space="preserve">Användningen av material som återvunnits på tomten bevarar ett kollager i marken, minskar utsläppen och bevarar den ursprungliga jordens mångfald. </t>
    </r>
  </si>
  <si>
    <r>
      <rPr>
        <sz val="10"/>
        <color theme="1"/>
        <rFont val="Arial"/>
        <family val="2"/>
      </rPr>
      <t xml:space="preserve">Spelar ingen roll med tanke på funktionaliteten. </t>
    </r>
  </si>
  <si>
    <r>
      <rPr>
        <sz val="10"/>
        <color theme="1"/>
        <rFont val="Arial"/>
        <family val="2"/>
      </rPr>
      <t>Biokol i marken kan minska behovet av gödsling och bevattning i någon mån.</t>
    </r>
  </si>
  <si>
    <r>
      <rPr>
        <sz val="10"/>
        <rFont val="Arial"/>
        <family val="2"/>
      </rPr>
      <t xml:space="preserve">Hoitotarve riippuu toteutettavasta kasvillisuustyypistä. </t>
    </r>
  </si>
  <si>
    <r>
      <rPr>
        <sz val="10"/>
        <rFont val="Arial"/>
        <family val="2"/>
      </rPr>
      <t xml:space="preserve">Biohiili pidättää kosteutta ja hulevesien mukana huuhtoutuvia ravinteita kasvualustassa. Biohiili lisää maaperän huokoisuutta ja vedenläpäisevyyttä. Merkitys riippuu kasvualustan paksuudesta. </t>
    </r>
  </si>
  <si>
    <r>
      <rPr>
        <sz val="10"/>
        <color theme="1"/>
        <rFont val="Arial"/>
        <family val="2"/>
      </rPr>
      <t>Betydelsen beror på växtunderlagets tjocklek och det ursprungliga jordmaterialets kornstorlek. Mindre näringsämnen uppstår från återvunnet växtunderlag med låg näringshalt.</t>
    </r>
  </si>
  <si>
    <r>
      <rPr>
        <sz val="10"/>
        <color theme="1"/>
        <rFont val="Arial"/>
        <family val="2"/>
      </rPr>
      <t>Ett mer poröst jordmaterial och biokol i sig möjliggör marklevande organismers välbefinnande på många olika sätt. Minskar urlakningen av näringsämnen. Biokol bildar ett permanent kollager i jordmånen.</t>
    </r>
  </si>
  <si>
    <r>
      <rPr>
        <sz val="10"/>
        <color theme="1"/>
        <rFont val="Arial"/>
        <family val="2"/>
      </rPr>
      <t>Underhållsbehovet beror på den växtlighetstyp som planteras.</t>
    </r>
  </si>
  <si>
    <r>
      <rPr>
        <sz val="10"/>
        <color theme="1"/>
        <rFont val="Arial"/>
        <family val="2"/>
      </rPr>
      <t>Biokol håller kvar fukt och näringsämnen i växtunderlaget, vilka sköljs bort med dagvattnet. Biokol ökar markens porositet och vattengenomsläpplighet. Betydelsen beror på växtunderlagets tjocklek.</t>
    </r>
  </si>
  <si>
    <r>
      <rPr>
        <sz val="12"/>
        <color theme="1"/>
        <rFont val="Arial"/>
        <family val="2"/>
      </rPr>
      <t>Regnträdgård eller motsvarande absorptions- eller filtreringsplats med mångsidig skiktad växtlighet</t>
    </r>
  </si>
  <si>
    <r>
      <rPr>
        <sz val="12"/>
        <color theme="1"/>
        <rFont val="Arial"/>
        <family val="2"/>
      </rPr>
      <t>Absorberings- eller fördröjningstryck eller utgrävning på stenmaterialsytan</t>
    </r>
  </si>
  <si>
    <r>
      <rPr>
        <i/>
        <sz val="10"/>
        <color rgb="FF7F7F7F"/>
        <rFont val="Arial"/>
        <family val="2"/>
      </rPr>
      <t>till exempel rönn, ullungsrönn, prydnadskörsbär, näverhägg</t>
    </r>
  </si>
  <si>
    <r>
      <rPr>
        <b/>
        <sz val="10"/>
        <color theme="1"/>
        <rFont val="Arial"/>
        <family val="2"/>
      </rPr>
      <t>Ett litet träd (fullvuxet ≤ 10 m) kortlivat (lever kortare tid än 150 år, till exempel gårdsrönn, bergsaska, prydnadskörsbär, importör)</t>
    </r>
  </si>
  <si>
    <r>
      <rPr>
        <b/>
        <sz val="10"/>
        <color theme="1"/>
        <rFont val="Arial"/>
        <family val="2"/>
      </rPr>
      <t>Ett litet träd (fullvuxet ≤ 10 m) långlivat (lever över 150 år, till exempel en, äppelträd, hasselbuskar med stor stam)</t>
    </r>
  </si>
  <si>
    <r>
      <rPr>
        <i/>
        <sz val="10"/>
        <color rgb="FF7F7F7F"/>
        <rFont val="Arial"/>
        <family val="2"/>
      </rPr>
      <t>till exempel en, äppelträd, hassel med hög stam</t>
    </r>
  </si>
  <si>
    <r>
      <rPr>
        <sz val="12"/>
        <color theme="1"/>
        <rFont val="Arial"/>
        <family val="2"/>
      </rPr>
      <t>Ert absorptions- eller dröjsmålstryck med låg växtlighet (till exempel vallmo eller ängen)</t>
    </r>
  </si>
  <si>
    <r>
      <rPr>
        <sz val="12"/>
        <color theme="1"/>
        <rFont val="Arial"/>
        <family val="2"/>
      </rPr>
      <t>Stort (fullvuxet &gt; 10 m) långlivat (lever över 100 år)</t>
    </r>
  </si>
  <si>
    <r>
      <rPr>
        <sz val="12"/>
        <color theme="1"/>
        <rFont val="Arial"/>
        <family val="2"/>
      </rPr>
      <t>Stort (fullvuxet &gt; 10 m) kortvarigt (lever kortare tid än 100 år)</t>
    </r>
  </si>
  <si>
    <r>
      <rPr>
        <sz val="12"/>
        <color theme="1"/>
        <rFont val="Arial"/>
        <family val="2"/>
      </rPr>
      <t>Småväxta (fullvuxet ≤ 10 m) långlivade (lever över 100 år)</t>
    </r>
  </si>
  <si>
    <r>
      <rPr>
        <sz val="12"/>
        <color theme="1"/>
        <rFont val="Arial"/>
        <family val="2"/>
      </rPr>
      <t>Småväxta (fullvuxet ≤ 10 m) kortvariga (lever kortare tid än 100 år)</t>
    </r>
  </si>
  <si>
    <r>
      <rPr>
        <b/>
        <sz val="10"/>
        <color theme="1"/>
        <rFont val="Arial"/>
        <family val="2"/>
      </rPr>
      <t>Träd i gott skick som ska bevaras, Stort (&gt; 10 m som fullvuxet) långlivat (lever över 100 år)</t>
    </r>
  </si>
  <si>
    <r>
      <rPr>
        <b/>
        <sz val="10"/>
        <color theme="1"/>
        <rFont val="Arial"/>
        <family val="2"/>
      </rPr>
      <t>Träd i gott skick som ska bevaras, Stort (fullvuxet &gt; 10 m) kortlivat (lever kortare tid än 100 år)</t>
    </r>
  </si>
  <si>
    <r>
      <rPr>
        <b/>
        <sz val="10"/>
        <color theme="1"/>
        <rFont val="Arial"/>
        <family val="2"/>
      </rPr>
      <t>Träd i gott skick som ska bevaras, Litet (fullvuxet ≤ 10 m) långlivat (lever längre tid än 100 år)</t>
    </r>
  </si>
  <si>
    <r>
      <rPr>
        <b/>
        <sz val="10"/>
        <color theme="1"/>
        <rFont val="Arial"/>
        <family val="2"/>
      </rPr>
      <t>Säilytettävä hyväkuntoinen puu, Pienikokoinen (täysikasvuisena ≤ 10 m)  lyhytikäinen (elävät alle 100 vuotta)</t>
    </r>
  </si>
  <si>
    <r>
      <rPr>
        <sz val="12"/>
        <rFont val="Arial"/>
        <family val="2"/>
      </rPr>
      <t>Vilket är det i planen antecknade behovet av fördröjning (m</t>
    </r>
    <r>
      <rPr>
        <vertAlign val="superscript"/>
        <sz val="12"/>
        <rFont val="Arial"/>
        <family val="2"/>
      </rPr>
      <t>3</t>
    </r>
    <r>
      <rPr>
        <sz val="12"/>
        <rFont val="Arial"/>
        <family val="2"/>
      </rPr>
      <t>/100 m</t>
    </r>
    <r>
      <rPr>
        <vertAlign val="superscript"/>
        <sz val="12"/>
        <rFont val="Arial"/>
        <family val="2"/>
      </rPr>
      <t>2</t>
    </r>
    <r>
      <rPr>
        <sz val="12"/>
        <rFont val="Arial"/>
        <family val="2"/>
      </rPr>
      <t>)?</t>
    </r>
  </si>
  <si>
    <r>
      <rPr>
        <sz val="12"/>
        <rFont val="Arial"/>
        <family val="2"/>
      </rPr>
      <t>Vilket är det uppskattade medeldjupet (m) i ett genomförbart fördröjningsutrymme i ett fördröjningsområde (</t>
    </r>
    <r>
      <rPr>
        <b/>
        <sz val="12"/>
        <rFont val="Arial"/>
        <family val="2"/>
      </rPr>
      <t>Bild 1</t>
    </r>
    <r>
      <rPr>
        <sz val="12"/>
        <rFont val="Arial"/>
        <family val="2"/>
      </rPr>
      <t xml:space="preserve">)? 1) </t>
    </r>
  </si>
  <si>
    <r>
      <rPr>
        <sz val="12"/>
        <rFont val="Arial"/>
        <family val="2"/>
      </rPr>
      <t>Vilket är medeldjupet (m) i fördröjningsutrymmet ovanför biofiltreringskonstruktionen (</t>
    </r>
    <r>
      <rPr>
        <b/>
        <sz val="12"/>
        <rFont val="Arial"/>
        <family val="2"/>
      </rPr>
      <t>Bild 2</t>
    </r>
    <r>
      <rPr>
        <sz val="12"/>
        <rFont val="Arial"/>
        <family val="2"/>
      </rPr>
      <t xml:space="preserve">)? 1) </t>
    </r>
  </si>
  <si>
    <r>
      <rPr>
        <b/>
        <sz val="12"/>
        <rFont val="Arial"/>
        <family val="2"/>
      </rPr>
      <t>Bild 1.</t>
    </r>
    <r>
      <rPr>
        <sz val="12"/>
        <rFont val="Arial"/>
        <family val="2"/>
      </rPr>
      <t xml:space="preserve"> Fördröjningsområde</t>
    </r>
  </si>
  <si>
    <r>
      <rPr>
        <b/>
        <sz val="12"/>
        <rFont val="Arial"/>
        <family val="2"/>
      </rPr>
      <t xml:space="preserve">Bild 2. </t>
    </r>
    <r>
      <rPr>
        <sz val="12"/>
        <rFont val="Arial"/>
        <family val="2"/>
      </rPr>
      <t>Biofiltreringskonstruktion</t>
    </r>
  </si>
  <si>
    <r>
      <rPr>
        <i/>
        <sz val="12"/>
        <rFont val="Arial"/>
        <family val="2"/>
      </rPr>
      <t xml:space="preserve">1) </t>
    </r>
    <r>
      <rPr>
        <b/>
        <i/>
        <sz val="12"/>
        <rFont val="Arial"/>
        <family val="2"/>
      </rPr>
      <t>Fördröjningsfas</t>
    </r>
    <r>
      <rPr>
        <i/>
        <sz val="12"/>
        <rFont val="Arial"/>
        <family val="2"/>
      </rPr>
      <t xml:space="preserve"> = det tillstånd för dagvattenhantering (biofiltrering, absorption, uppehållande, fördröjning) där vattnet stannar i dammar men inte bildar en permanent vattenyta:</t>
    </r>
  </si>
  <si>
    <r>
      <rPr>
        <b/>
        <sz val="11"/>
        <rFont val="Arial"/>
        <family val="2"/>
      </rPr>
      <t>Gröna tak</t>
    </r>
    <r>
      <rPr>
        <sz val="11"/>
        <rFont val="Arial"/>
        <family val="2"/>
      </rPr>
      <t xml:space="preserve">
Med gröna tak avses tak- eller däcksytor som är övertäckta med växtlighet. Vegetationen fördröjer och håller vatten kvar och minskar mängden dagvatten som uppstår på detta sätt samtidigt som strömningen jämnas ut. Gröna tak lämpar sig för mycket tätt byggda områden med knappt om utrymme för arbetsmetoder för växter som ska planteras i marken. Gröna tak medför också andra fördelar: de minskar bullret, förbättrar mikroklimatet, diversifierar landskapet samt erbjuder levnadsförhållanden för många smådjursarter. Växtligheten kan också förlänga takets livslängd genom att skydda det mot bl.a. UV-strålning och temperaturvariationer. 
En förutsättning för att ett grönt tak ska kunna anläggas är att tak- eller däckkonstruktionerna är tillräckligt bärande och vattentäta. Ett grönt tak kan anläggas i mycket olika tjocklekar – alltifrån ett tunt fetknoppstak till en takträdgård som kräver en över en meter tjock lagerstruktur. Valet av den lämpligaste typen av takvegetation påverkas bl.a. av takets lutning och bärighet, platsens vind- och ljusförhållanden, dess användningsändamål samt önskade underhållsnivå. Tumregel: ju tjockare det är och ju svagare lutning det har, desto större är dess vattenfördröjningskapacitet.</t>
    </r>
  </si>
  <si>
    <r>
      <rPr>
        <b/>
        <sz val="11"/>
        <rFont val="Arial"/>
        <family val="2"/>
      </rPr>
      <t>Grön vägg</t>
    </r>
    <r>
      <rPr>
        <sz val="11"/>
        <rFont val="Arial"/>
        <family val="2"/>
      </rPr>
      <t xml:space="preserve">
Grön vägg är en lösning där växtligheten har integrerats som en del av en byggnadens fasad. Den lämpar sig för objekt för vilka det inte går att anlägga dagvattenlösningar som upptar utrymme på marknivå. Det finns många olika sätt att inrätta en grön vägg: ett växtunderlag kan ha en struktur som är avskild från väggen. Växterna kan också utgöra en fast del av en vägg. Med tanke på dagvattenhanteringen är det väsentligt med en yta som potentiellt fördröjer, absorberar och får vattnet att avdunsta på samma sätt som ett grönt tak. 
Gröna väggar erbjuder samma slags fördelar som gröna tak: Till exempel förbättrar de luftkvaliteten, reglerar mikroklimatet och det lokala ljudlandskapet, erbjuder livsmiljöer och estetiska upplevelser. Gröna väggar är dock krävande konstruktioner som förutsätter regelbundet underhåll, dvs. gödsling, bevattning, beskärning och lagning. Tryggandet av grönväggarnas funktion vintertid är utmanande i finländska förhållanden och erfarenheterna är få. </t>
    </r>
  </si>
  <si>
    <r>
      <rPr>
        <b/>
        <sz val="11"/>
        <rFont val="Arial"/>
        <family val="2"/>
      </rPr>
      <t xml:space="preserve">Genomsläpplig och halvgenomsläpplig ytbeläggning </t>
    </r>
    <r>
      <rPr>
        <sz val="11"/>
        <rFont val="Arial"/>
        <family val="2"/>
      </rPr>
      <t xml:space="preserve">
Beläggningen kan vara genomsläpplig (till exempel grus och sand), halvgenomsläppliga (till exempel stenmjöl, gräsarmeringssten, terrasser) eller ogenomsläppliga (eller svårgenomsläppliga, till exempel asfalt, betong). Obs! Terrasskonstruktioner räknas till halvgenomsläppliga ytbeläggningar endast om deras underlag är genomsläppligt. Genomsläppliga och halvgenomsläppliga ytbeläggningar består av ytskikt som är vattengenomsläppliga och konstruktionsskikt som består av grovt stenmaterial under ytskiktet. Det dagvatten som runnit igenom ytlagret lagras tillfälligt i håligheterna i det grova stenmaterialet, varifrån det absorberas djupare i marken eller leds vidare i täckdiken. Med däckkonstruktionerna är det också möjligt att i någon mån fördröja vattnet med hjälp av ytbeläggningar som släpper igenom dagvatten och konstruktionslager som lagrar vatten. Konstruktionernas bärkraft och vattentäthet samt överläckage till dagvattenavlopp ska då ombesörjas.
Med en genomsläpplig ytbeläggning minskas mängden dagvatten, eftersom den gör det möjligt att delvis absorbera dagvattnet i marken. Den lämpar sig emellertid inte för hantering av dagvatten som samlats omkring konstruktionen. Genomsläppliga beläggningar används vanligen på tätt bebyggda områden där man vill möjliggöra smidig rörlighet. De lämpar sig för objekt med små trafikmängder, såsom parkeringsplatser, servicetrafik och räddningsrutter samt leder för lätt trafik. </t>
    </r>
  </si>
  <si>
    <r>
      <rPr>
        <b/>
        <sz val="11"/>
        <rFont val="Arial"/>
        <family val="2"/>
      </rPr>
      <t>Absorberande sänka (till exempel stensamling)</t>
    </r>
    <r>
      <rPr>
        <sz val="11"/>
        <rFont val="Arial"/>
        <family val="2"/>
      </rPr>
      <t xml:space="preserve"> </t>
    </r>
    <r>
      <rPr>
        <sz val="11"/>
        <color theme="1"/>
        <rFont val="Calibri"/>
        <family val="2"/>
        <scheme val="minor"/>
      </rPr>
      <t xml:space="preserve"> </t>
    </r>
    <r>
      <rPr>
        <b/>
        <sz val="11"/>
        <color theme="4" tint="-0.249977111117893"/>
        <rFont val="Arial"/>
        <family val="2"/>
      </rPr>
      <t>(fördröjande konstruktion, V)</t>
    </r>
    <r>
      <rPr>
        <sz val="11"/>
        <rFont val="Arial"/>
        <family val="2"/>
      </rPr>
      <t xml:space="preserve">
Stenmaterialet är huvudsakligen beläget under jorden. Den är i typiska fall en punktliknande konstruktion som har anlagts med grovt grus, makadam eller stenar och i vilken till exempel dagvatten som har letts från taket till en byggnad lagras innan det absorberas i marken eller leds vidare med hjälp av ett täckdike eller rör. Konstruktionen kan också vara bandliknande och innehålla material av varierande granularitet. Typiskt är att kullerstenarna på ytan är stora för att deras yta snabbt ska smälta på våren och inte lätt frysa till, även om temperaturen varierar på bägge sidorna av noll grader. 
</t>
    </r>
  </si>
  <si>
    <r>
      <rPr>
        <b/>
        <sz val="11"/>
        <rFont val="Arial"/>
        <family val="2"/>
      </rPr>
      <t xml:space="preserve">Biofiltreringssänka eller biobassäng </t>
    </r>
    <r>
      <rPr>
        <b/>
        <sz val="11"/>
        <color theme="4" tint="-0.249977111117893"/>
        <rFont val="Arial"/>
        <family val="2"/>
      </rPr>
      <t>(biofiltreringskonstruktion, B; fördröjningskonstruktion, V)</t>
    </r>
    <r>
      <rPr>
        <sz val="11"/>
        <rFont val="Arial"/>
        <family val="2"/>
      </rPr>
      <t xml:space="preserve">
Biofilterbassänger och biofiltersänkor har i typiska fall tillämpats på områden där dagvatten som rinner ut kräver effektivare rening (till exempel trafikerade områden). Biofiltreringsbassänger och -sänkor motsvarar funktionerna i absorptionsbassänger och -sänkor, men reningseffekten i biofiltreringskonstruktionen ökas av särskilt riklig växtlighet och filtrerande jordlager. Mikrobfunktionen i sand-, grus- eller andra renande jordlager effektiverar ytterligare reningen av dagvattnet. Genom biofiltrering kan man således effektivare rengöra till exempel dagvatten i gatuområden. </t>
    </r>
  </si>
  <si>
    <r>
      <rPr>
        <b/>
        <sz val="11"/>
        <rFont val="Arial"/>
        <family val="2"/>
      </rPr>
      <t xml:space="preserve">Regnträdgård </t>
    </r>
    <r>
      <rPr>
        <b/>
        <sz val="11"/>
        <color theme="4" tint="-0.249977111117893"/>
        <rFont val="Arial"/>
        <family val="2"/>
      </rPr>
      <t>(biofiltreringskonstruktion, B; fördröjningskonstruktion, V)</t>
    </r>
    <r>
      <rPr>
        <sz val="11"/>
        <rFont val="Arial"/>
        <family val="2"/>
      </rPr>
      <t xml:space="preserve">
En fördröjningsbassäng på gårdsområdet kan också kallas regnträdgård. Där leds takvatten och vatten från eventuella passager och parkeringsområden. Vattnet leds till konstruktionen som ytvatten och därifrån vidare till en överflödeskonstruktion (eller till dagvattenavloppen) för att absorberas, om vattnet inte kan absorberas. Regnträdgården har i typiska fall mångfasetterad växtlighet och den kan bilda ett imponerande landmärke för hela gården. Och som namnet redan anger är det fråga om en trädgårdsliknande struktur som kräver vård och omsorg för att blomstra. 
</t>
    </r>
  </si>
  <si>
    <r>
      <rPr>
        <b/>
        <sz val="11"/>
        <rFont val="Arial"/>
        <family val="2"/>
      </rPr>
      <t xml:space="preserve">Damm </t>
    </r>
    <r>
      <rPr>
        <b/>
        <sz val="11"/>
        <color theme="4" tint="-0.249977111117893"/>
        <rFont val="Arial"/>
        <family val="2"/>
      </rPr>
      <t>(fördröjande konstruktion, V)</t>
    </r>
    <r>
      <rPr>
        <sz val="11"/>
        <color theme="1"/>
        <rFont val="Calibri"/>
        <family val="2"/>
        <scheme val="minor"/>
      </rPr>
      <t xml:space="preserve"> </t>
    </r>
    <r>
      <rPr>
        <sz val="11"/>
        <rFont val="Arial"/>
        <family val="2"/>
      </rPr>
      <t xml:space="preserve">
Dammen har en permanent vattenyta och den utjämnar dagvattenflödet. Också vattenkvaliteten förbättras, eftersom fasta partiklar i dagvatten hamnar på botten av konstruktionen. Dammen möjliggör mångsidig växtlighet, eftersom det finns ett urval olika växtplatser i dammen och dess kanter. En permanent vattenyta erbjuder livsmiljöer till exempel för groddjur. Även fiskar kan leva i en damm. Den permanenta vattenytan erbjuder också landskapsvärden och rekreationsvärden.
</t>
    </r>
  </si>
  <si>
    <r>
      <rPr>
        <b/>
        <sz val="11"/>
        <rFont val="Arial"/>
        <family val="2"/>
      </rPr>
      <t xml:space="preserve">Byggd våtmark </t>
    </r>
    <r>
      <rPr>
        <b/>
        <sz val="11"/>
        <color theme="4" tint="-0.249977111117893"/>
        <rFont val="Arial"/>
        <family val="2"/>
      </rPr>
      <t xml:space="preserve">(fördröjande konstruktion, V) </t>
    </r>
    <r>
      <rPr>
        <sz val="11"/>
        <rFont val="Arial"/>
        <family val="2"/>
      </rPr>
      <t xml:space="preserve">
Den byggda våtmarken är ett vidsträckt vattenområde med riklig vegetation för att dagvattnet ska kunna fördröjas och rengöras. Våtmarker som är avsedda för dagvattenhantering består i allmänhet av flera delar, såsom en fällningsbassäng och en huvudbassäng. Dessutom kan det förekomma olika flödesvägar i våtmarken. En väl planerad och underhållen våtmark rengör effektivt fasta ämnen, metaller, småpartiklar och näringsämnen i dagvattnet. Våtmarken ska dock vara ändamålsenligt dimensionerad i förhållande till avrinningsområdet för att den ska fungera korrekt. Våtmarker kräver oftast en omfattande utrymmesreservering med eventuella sanka ängar och är därför inte typiska konstruktioner på gatuområden eller gårdar. Små dagvattenkonstruktioner på gårdar med dagvattenkonstruktioner som påminner om våtmarker är ofta regnträdgårdar. En byggd våtmark placeras vanligen i en park, varvid den också används aktivt för rekreation och erbjuder livsmiljöer för många fågel- och insektarter. 
</t>
    </r>
  </si>
  <si>
    <r>
      <rPr>
        <b/>
        <sz val="11"/>
        <rFont val="Arial"/>
        <family val="2"/>
      </rPr>
      <t xml:space="preserve">Fördröjningsschakt eller -tank (underjordisk) </t>
    </r>
    <r>
      <rPr>
        <sz val="11"/>
        <rFont val="Arial"/>
        <family val="2"/>
      </rPr>
      <t xml:space="preserve">
Fördröjningsschakt och fördröjningstankar är en lösning på fördröjning av dagvatten under jord i områden som karakteriseras av mycket tätt byggda eller omfattande ogenomträngliga ytor. De utnyttjas till exempel i industri- och logistikdepåer där det inte är möjligt att behandla dagvatten på markytan och där tunga fordon ska kunna manövrera. Fördröjningen kan genomföras till exempel med plastceller (kassetter), med cisterner el</t>
    </r>
    <r>
      <rPr>
        <sz val="11"/>
        <color theme="1"/>
        <rFont val="Arial"/>
        <family val="2"/>
      </rPr>
      <t xml:space="preserve">ler med rör, </t>
    </r>
    <r>
      <rPr>
        <sz val="11"/>
        <rFont val="Arial"/>
        <family val="2"/>
      </rPr>
      <t xml:space="preserve">vilkas dimensionering bestäms enligt områdets behov av fördröjning. Fördröjningsbrunnar och fördröjningsbehållare förutsätter regelbundet underhåll på samma sätt som andra dagvattenkonstruktioner.
</t>
    </r>
  </si>
  <si>
    <r>
      <rPr>
        <b/>
        <sz val="11"/>
        <rFont val="Arial"/>
        <family val="2"/>
      </rPr>
      <t>Regnvattentank</t>
    </r>
    <r>
      <rPr>
        <sz val="11"/>
        <rFont val="Arial"/>
        <family val="2"/>
      </rPr>
      <t xml:space="preserve">
En regnvattenbehållare kan vara en i byggnaden integrerad eller fristående tank som vanligen samlar in takvatten och därmed utjämnar flödet. Vattnet kan ledas vidare från cisternen till en annan lösning för dagvattenhantering och därifrån vid behov som överflöde till dagvattennätet, eller utnyttjas bl.a. som bevattnings- eller tvättvatten på tomten. Dagvattentanken kan också placeras under marken till exempel som dagvattenbrunn där vatten kan pumpas upp med en handpump för gårdens behov.
</t>
    </r>
  </si>
  <si>
    <r>
      <rPr>
        <sz val="11"/>
        <rFont val="Arial"/>
        <family val="2"/>
      </rPr>
      <t>På tomten/i kvarteret finns det efter byggandet inga invasiva främmande arter från förteckningen Vieraslaji.fi</t>
    </r>
  </si>
  <si>
    <r>
      <rPr>
        <sz val="11"/>
        <color theme="1"/>
        <rFont val="Arial"/>
        <family val="2"/>
      </rPr>
      <t>en minst 0,5 m hög stubbe med en diameter på minst 0,5 m</t>
    </r>
  </si>
  <si>
    <r>
      <rPr>
        <sz val="11"/>
        <color theme="1"/>
        <rFont val="Arial"/>
        <family val="2"/>
      </rPr>
      <t>en stam som är minst 1,5 m lång och har en diameter på minst 0,3 m (hämtad till tomten eller fälld på tomten)</t>
    </r>
  </si>
  <si>
    <r>
      <rPr>
        <b/>
        <sz val="11"/>
        <rFont val="Arial"/>
        <family val="2"/>
      </rPr>
      <t xml:space="preserve">En absorptions- eller fördröjningssänka med låg vegetation </t>
    </r>
    <r>
      <rPr>
        <b/>
        <sz val="11"/>
        <color theme="4" tint="-0.249977111117893"/>
        <rFont val="Arial"/>
        <family val="2"/>
      </rPr>
      <t>(fördröjningskonstruktion, V)</t>
    </r>
    <r>
      <rPr>
        <sz val="11"/>
        <rFont val="Arial"/>
        <family val="2"/>
      </rPr>
      <t xml:space="preserve">
En bassäng eller sänka täckt av vegetation som ligger under den omgivande terrängen och som fördröjer eller fördämmer samt absorberar dagvattnet och främjar dess avdunstning samtidigt som den förbättrar vattnets kvalitet. Även öppna diken och andra områden täckta av växtlighet, som är avsedda för ledning av dagvatten, kan hänföras till denna typ av struktur och beskaffenhet. Fördröjningen sker på strukturens jordlager och/eller dessutom på konstruktionens yta i en tillfällig fördämning. I absorptions- och fördröjningskonstruktionerna finns ingen permanent vattenyta, utan avsikten är att jämna ut dagvattenflödet. Fördämningens djup och varaktighet kan regleras till exempel genom ett utloppsrör som kopplas till konstruktionen eller genom dammkonstruktioner. På gatuområdet förses fördröjningsstrukturen vanligen också med en överflödesbrunn. 
En fördröjningskonstruktion som är placerad på ett gatuområde är vanligen integrerad i leder för lätt trafik och dess syfte är att hantera dagvattnet från hela gatuområdet. Konstruktionen kantas till exempel av stenkanter med öppningar genom eller under vilka vattnet kan röra sig till konstruktionen. På en stor gård eller ett parkområde kan en fördröjningsbassäng till sin areal vara betydligt mer omfattande. Den uppehållande konstruktionen eller fördröjningsstrukturen kan utgöra ett centralt landskapselement och erbjuda många slags möjligheter till lek, rekreation och mångsidig växtlighet. Till exempel stora stenar kan öka möjligheterna att använda konstruktionen och höja landskapsvärdet under vattenfria tider.</t>
    </r>
  </si>
  <si>
    <r>
      <rPr>
        <i/>
        <sz val="10"/>
        <color rgb="FF7F7F7F"/>
        <rFont val="Arial"/>
        <family val="2"/>
      </rPr>
      <t>t. ex. tall, gran, vårtbjörk, asp, ek, bergsalm, vresalm, skogslind, ask, lönn, klibbal</t>
    </r>
  </si>
  <si>
    <r>
      <rPr>
        <i/>
        <sz val="10"/>
        <color rgb="FF7F7F7F"/>
        <rFont val="Arial"/>
        <family val="2"/>
      </rPr>
      <t>till exempel glasbjörk, gråal, sälg, jolster, rönn, hägg</t>
    </r>
  </si>
  <si>
    <r>
      <rPr>
        <sz val="11"/>
        <rFont val="Arial"/>
        <family val="2"/>
      </rPr>
      <t>En av varje kategori ska väljas:
1. Små eller stora träd
2. Låga eller höga buskar
3. Ris eller perennner
Marktäckande perenner räknas med i klassen lägsta växter, likaså mossar och lavar och välutvecklad äng eller gräsmark med många arter. Gräsmatta räknas inte som ett lager i detta sammanhang.</t>
    </r>
  </si>
  <si>
    <r>
      <rPr>
        <sz val="11"/>
        <color theme="1"/>
        <rFont val="Arial"/>
        <family val="2"/>
      </rPr>
      <t>Minst hälften av arterna i planteringarna är inhemska traditionsväxtarter eller arter som förädlats av dessa (planteringarnas areal)</t>
    </r>
  </si>
  <si>
    <r>
      <rPr>
        <sz val="11"/>
        <rFont val="Arial"/>
        <family val="2"/>
      </rPr>
      <t xml:space="preserve">maatiainen.fi ja Porvoon rakennustapaohjeissa listaus kasveista s. 57-61 https://www.porvoo.fi/app/uploads/2021/09/AK-512_Vanhan_Porvoon_Rakennustapaohjeet.pdf, Ulla ja Pertti Salo: Pihan perinnekasvit, Minerva-kustannus 2007. Detta gäller även träd och buskar. </t>
    </r>
  </si>
  <si>
    <r>
      <rPr>
        <sz val="16"/>
        <rFont val="Arial Bold"/>
      </rPr>
      <t>Mer information om grönkoefficient-element:</t>
    </r>
  </si>
  <si>
    <r>
      <rPr>
        <b/>
        <sz val="11"/>
        <rFont val="Arial"/>
        <family val="2"/>
      </rPr>
      <t>Växtlighet som ska bevaras</t>
    </r>
    <r>
      <rPr>
        <sz val="11"/>
        <rFont val="Arial"/>
        <family val="2"/>
      </rPr>
      <t xml:space="preserve">
Man bör alltid sträva efter att bevara träd i gott skick på tomten. Trädens skick och förutsättningarna för bevarande ska bedömas från fall till fall. Djupt rotade träd som växt i skogen (till exempel tall) anpassar sig bättre som enstaka träd än ytrotade träd (till exempel gran), som ofta förfaller när de hamnar i annorlunda växtförhållanden. Både trädets rötter och stomme ska skyddas på behörigt sätt under byggnadsfasen och de bevarade trädens skick ska följas efter att byggnadsarbetena slutförts. 
Träd som i planen anvisas för att bevaras och skyddskonstruktioner under byggtiden ska tydligt anges i planen. I entreprenadbeskrivningen för bygget ska anges skyddsklass för träden och anvisningar för skydd av de träd som bevaras i enlighet med VRT’17 (allmän arbetsbeskrivning för grönt byggande) 
Trädbeståndet och växtligheten som bevaras behöver även i fortsättningen ungefär lika mycket vatten, näringsämnen och ljus som före byggandet. I gårds- och dagvattenplanerna ska särskild uppmärksamhet fästas vid tillräcklig vattenförsörjning för den växtlighet som bevaras. Växtlighetens välbefinnande ska tryggas under byggtiden genom tillräcklig bevattning och skötsel. Det grävningsarbete som sker kring trädens rötter ska planeras separat. </t>
    </r>
  </si>
  <si>
    <r>
      <rPr>
        <b/>
        <sz val="11"/>
        <rFont val="Arial"/>
        <family val="2"/>
      </rPr>
      <t>Trädarternas ålder och storlek</t>
    </r>
    <r>
      <rPr>
        <sz val="11"/>
        <rFont val="Arial"/>
        <family val="2"/>
      </rPr>
      <t xml:space="preserve">
Träden binder och lagrar kol effektivt, stora och långvariga träd mer än små och kortvariga träd. Träden erbjuder även skugga och insynskydd. 
Kortlivade träd växer vanligen snabbare än långlivade träd och ger snabbt skugga och djup på gården. Kortvariga träd förfaller och dör emellertid snabbare, och det lönar sig att beakta detta i planeringen av gården. Åldersgränsen mellan kort- och långlivade träd har i denna grönkoefficient fastställts till 100 år. I goda förhållanden kan dock en del av de arter som här definieras som kortvariga växa till över 100 år. Å andra sidan kan en långlivad trädart under dåliga förhållanden bli kortlivad. I urban miljö når träden sällan samma maximiålder som de skulle uppnå i naturförhållanden. 
Det är bra att till gårdsstorleken anpassa storleken av de träd som ska bevaras och planteras. Med träd av olika storlek fås också djup och variationer på gården. Gränsvärdet för små och stora arter har i denna grönkoefficient fastställts till 10 meters höjd när trädet är fullvuxet. 
Långlivade stora trädslag är bland annat till exempel tall, gran, vårtbjörk, asp, ek, bergsalm, vresalm, skogslind, ask, lönn, klibbal. Långlivade små trädslag är bland annat till exempel en, äppelträd, hasselbuske med stor stam.
De kortlivade, stora trädslagen är bland annat glasbjörk, gråal, sälg, jolster, rönn, hägg. Kortlivade, småskaliga trädslag är bland annat till exempel gårdsrönn, ullungrönn, prydnadskörsbär, näverhägg.</t>
    </r>
  </si>
  <si>
    <r>
      <rPr>
        <sz val="11"/>
        <color theme="1"/>
        <rFont val="Arial"/>
        <family val="2"/>
      </rPr>
      <t>Åtgärder som ökar mängden murket trä</t>
    </r>
  </si>
  <si>
    <r>
      <rPr>
        <sz val="11"/>
        <color theme="1"/>
        <rFont val="Arial"/>
        <family val="2"/>
      </rPr>
      <t>ett minst 1,5 m högt dött stående träd (toppen kan ha kapats)</t>
    </r>
  </si>
  <si>
    <r>
      <rPr>
        <sz val="10"/>
        <color theme="1"/>
        <rFont val="Arial"/>
        <family val="2"/>
      </rPr>
      <t>Borgå stads grönkoefficientverktyg bygger på Helsingfors och Esbos grönkoefficientverktyg.</t>
    </r>
  </si>
  <si>
    <r>
      <rPr>
        <b/>
        <sz val="10"/>
        <rFont val="Arial"/>
        <family val="2"/>
      </rPr>
      <t xml:space="preserve">Absorptions- eller fördröjningssänka med låg växtlighet (exempelvis gräsplan eller äng), </t>
    </r>
    <r>
      <rPr>
        <b/>
        <sz val="10"/>
        <color theme="4" tint="-0.249977111117893"/>
        <rFont val="Arial"/>
        <family val="2"/>
      </rPr>
      <t>fördröjande konstruktion (V)</t>
    </r>
  </si>
  <si>
    <r>
      <rPr>
        <b/>
        <sz val="10"/>
        <rFont val="Arial"/>
        <family val="2"/>
      </rPr>
      <t>Absorberings- eller fördröjningssänka eller schakt med stenmaterialsyta,</t>
    </r>
    <r>
      <rPr>
        <b/>
        <sz val="10"/>
        <color theme="4" tint="-0.249977111117893"/>
        <rFont val="Arial"/>
        <family val="2"/>
      </rPr>
      <t xml:space="preserve"> fördröjande konstruktion (V)</t>
    </r>
  </si>
  <si>
    <r>
      <rPr>
        <sz val="10"/>
        <rFont val="Arial"/>
        <family val="2"/>
      </rPr>
      <t>Har ingen betydelse för utjämningen av mikroklimatet. Funktionaliteten ökas av möjligheten att placera andra funktioner ovanpå fördjupningen/schaktet.</t>
    </r>
  </si>
  <si>
    <r>
      <rPr>
        <sz val="10"/>
        <rFont val="Arial"/>
        <family val="2"/>
      </rPr>
      <t xml:space="preserve">Stor betydelse för kvantitativ och kvalitativ dagvattenhantering (10). </t>
    </r>
  </si>
  <si>
    <r>
      <rPr>
        <sz val="10"/>
        <rFont val="Arial"/>
        <family val="2"/>
      </rPr>
      <t>Viktig för dagvattenhanteringen; lämpar sig väl för hantering av dagvattenmängd och vattenkvalitet (10).</t>
    </r>
  </si>
  <si>
    <r>
      <rPr>
        <sz val="11"/>
        <rFont val="Arial"/>
        <family val="2"/>
      </rPr>
      <t xml:space="preserve">Denna punkt gäller de slags främmande arter på Vieraslaji.fi-listan som ännu inte har upptagits som nationellt skadliga främmande arter. Främmande arter är ett av de största hoten mot den ursprungliga naturens mångfald. Varje art i förteckningen kan i framtiden vara en invasiv främmande art och de orsakar redan nu eventuella olägenheter för naturens mångfald. Listan uppdateras kontinuerligt enligt behov och när informationen ökar. Därför ska man på webbplatsen Vieraslaji.fi säkerställa en uppdaterad förteckning över främmande arter. Vieraslaji.fi innehåller beskrivningar av olägenheterna och begränsningarna i användningen av varje art och i fråga om denna punkt övervägs från fall till fall om det är möjligt att uppfylla kravet i objektet. Till exempel i trädgårdshistoriskt värdefulla områden kan vissa arter i förteckningen över främmande arter utgöra en värdefull del av en kulturmiljö. I fråga om växtlighet som bevaras ska det från fall till fall övervägas om främmande arter är skadliga för objektet i fråga. Till exempel stora träd som finns uppräknade i förteckningen över främmande arter (till exempel pichtagran) behöver inte avlägsnas. Dessutom ska användningen av vissa arter begränsas endast i vissa områden i Finland, till exempel äppelträdet (Malus domestica) endast på Åland, varför det i denna punkt inte behöver räknas som främmande art i Borgå. Plantering av äppelträd i trädgårdar är till och med önskvärt.  </t>
    </r>
  </si>
  <si>
    <r>
      <rPr>
        <sz val="10"/>
        <rFont val="Arial"/>
        <family val="2"/>
      </rPr>
      <t>Hoitotarve pienempi kuin kasvillisuuspintaisella rakenteella. Vaatii roskien ja kiintoaineksen poistoa, suodattavan kerroksen läpäisevyyden ylläpitoa ja kaivon lietepesän tyhjennyksen (kerran vuodessa) (10).</t>
    </r>
  </si>
  <si>
    <r>
      <rPr>
        <sz val="10"/>
        <rFont val="Arial"/>
        <family val="2"/>
      </rPr>
      <t>Underhållsbehovet är mindre än hos en struktur med växtlighet. Kräver avlägsnande av skräp och fasta partiklar, upprätthållande av genomsläppligheten i det filtrerande skiktet och tömning av samlat slam i brunnen (en gång per år) (10)</t>
    </r>
  </si>
  <si>
    <r>
      <rPr>
        <sz val="10"/>
        <rFont val="Arial"/>
        <family val="2"/>
      </rPr>
      <t>Mindre betydelse för utjämning av flödet av småvatten och förebyggande av erosion än betydelsen av en absorptionssänka.</t>
    </r>
  </si>
  <si>
    <r>
      <rPr>
        <sz val="11"/>
        <rFont val="Arial"/>
        <family val="2"/>
      </rPr>
      <t>Främmande arter är ett av de största hoten mot den ursprungliga naturens mångfald. Naturräknaren drar av poäng om invasiva främmande arter förekommer på tomten efter byggnationen. Det är också enligt lag förbjudet att odla dessa arter. Det vägledande målet är att avlägsna invasiva främmande arter som eventuellt förekommer på tomten före byggandet samt att säkerställa att det efter byggandet inte finns invasiva främmande arter i planen eller de planteringar som anlagts. Med hjälp av Vieraslaji.fi-sidan ska man säkerställa en aktuell förteckning över invasiva främmande arter. Observera att listan uppdateras kontinuerligt enligt behov och när informationen ökar. Denna punkt gäller endast invasiva främmande arter.</t>
    </r>
  </si>
  <si>
    <r>
      <rPr>
        <sz val="11"/>
        <rFont val="Arial"/>
        <family val="2"/>
      </rPr>
      <t>Om det till exempel på gården finns tre planteringsområden som är större än 10 m² och där olika arter har planterats 7, 9 och 10 st., finns det i genomsnitt (7 + 9 + 10)/3 = 8,7 st. arter. Denna punkt gäller områden som anlagts genom plantering. Ängar som anlagts till exempel genom sådd beaktas i andra delar av räknaren.</t>
    </r>
  </si>
  <si>
    <r>
      <rPr>
        <sz val="10"/>
        <color theme="1"/>
        <rFont val="Arial"/>
        <family val="2"/>
      </rPr>
      <t>I fliken Naturräknaren finns påståenden och frågor med hjälp av vilka planeringslösningar styrs till stöd för den biologiska mångfalden. Påståendena och frågorna har delats in i fyra kategorier: växtlighetens mångsidighet och växtlager på lager, artens ursprung, stödjande av arterna genom att erbjuda växtplatser och livsmiljöer samt utnyttjande av blommande och skördeproducerande arter.
I naturräknaren väljs alla påståenden som kommer att förverkligas i planen. Utöver påståendena finns det i räknaren en fråga där man i rullgardinsmenyn ska välja ett alternativ som beskriver planen. Utifrån effektiviteten får man olika poäng för olika punkter. Minuspoäng fås för en del av punkterna, om lösningarna på gården främjar utarmningen av naturen/utarmningen av den biologiska mångfalden. Närmare upplysningar om påståenden och frågor fås genom att klicka på ”i” (info) till höger om påståendet eller frågan, varvid fliken ”Mer om naturräknaren” öppnas. 
I fliken till höger uppdateras automatiskt resultatet av de poäng som getts för svaren. Resultatet anges i verbal form.</t>
    </r>
  </si>
  <si>
    <r>
      <rPr>
        <sz val="12"/>
        <color theme="1"/>
        <rFont val="Arial"/>
        <family val="2"/>
      </rPr>
      <t xml:space="preserve">Gröna tak: Äng, fält eller hö, växtunderlag tjocklek 10–29 cm (tjocklek enligt önskad art, se </t>
    </r>
    <r>
      <rPr>
        <i/>
        <sz val="12"/>
        <color theme="1"/>
        <rFont val="Arial"/>
        <family val="2"/>
      </rPr>
      <t>Mer om grönkoefficienten</t>
    </r>
    <r>
      <rPr>
        <sz val="12"/>
        <color theme="1"/>
        <rFont val="Arial"/>
        <family val="2"/>
      </rPr>
      <t>)</t>
    </r>
  </si>
  <si>
    <r>
      <rPr>
        <sz val="12"/>
        <color theme="1"/>
        <rFont val="Arial"/>
        <family val="2"/>
      </rPr>
      <t xml:space="preserve">Gröna tak: Takträdgård med växtunderlag, tjocklek 30–100 cm (tjocklek enligt önskad art, se </t>
    </r>
    <r>
      <rPr>
        <i/>
        <sz val="12"/>
        <color theme="1"/>
        <rFont val="Arial"/>
        <family val="2"/>
      </rPr>
      <t>Mer om grönkoefficienten</t>
    </r>
    <r>
      <rPr>
        <sz val="12"/>
        <color theme="1"/>
        <rFont val="Arial"/>
        <family val="2"/>
      </rPr>
      <t>)</t>
    </r>
  </si>
  <si>
    <r>
      <rPr>
        <b/>
        <sz val="10"/>
        <rFont val="Arial"/>
        <family val="2"/>
      </rPr>
      <t xml:space="preserve">Absorberings- eller fördröjningssänka med stenmaterialsyta </t>
    </r>
    <r>
      <rPr>
        <b/>
        <sz val="10"/>
        <color theme="4" tint="-0.249977111117893"/>
        <rFont val="Arial"/>
        <family val="2"/>
      </rPr>
      <t>(fördröjande konstruktion, V)</t>
    </r>
    <r>
      <rPr>
        <sz val="10"/>
        <color theme="4" tint="-0.249977111117893"/>
        <rFont val="Arial"/>
        <family val="2"/>
      </rPr>
      <t xml:space="preserve">
</t>
    </r>
    <r>
      <rPr>
        <sz val="11"/>
        <color theme="1"/>
        <rFont val="Arial"/>
        <family val="2"/>
      </rPr>
      <t>En bassäng eller sänka täckt av vegetation som ligger under den omgivande terrängen och som fördröjer eller fördämmer samt absorberar dagvattnet och främjar dess avdunstning.</t>
    </r>
    <r>
      <rPr>
        <sz val="11"/>
        <rFont val="Arial"/>
        <family val="2"/>
      </rPr>
      <t xml:space="preserve"> Syftet med dem är att fördröja, rengöra och absorbera dagvatten och eventuellt leda vatten vidare mot andra hanteringskonstruktioner. I konstruktionen kan det installeras olika bottendammar eller bottenvallar för att bidra till att sedimenten sjunker, flödet saktar ner och dagvattnet absorberas i marken. 
Absorptionen kräver genomsläpplig mark och lämpar sig bäst för hantering av relativt rent dagvatten. Särskilt smutsigt dagvatten (till exempel dagvatten från gator med tung trafik) ska inte infiltreras direkt i marken, utan fördämnings- eller fördröjningskonstruktioner ska prioriteras i dagvattenhanteringen. Smutsigt dagvatten kan också innan det leds till vegetationen först samlas in i det stenområde där fasta partiklar och skräp sjunker ned och där vattnet vid behov kan renas. </t>
    </r>
  </si>
  <si>
    <r>
      <rPr>
        <sz val="11"/>
        <rFont val="Arial"/>
        <family val="2"/>
      </rPr>
      <t>Ett vattenelement kan vara vilket som helst naturligt eller liknande element som innehåller vatten under minst en del av året, till exempel ett dike, en dagvattensänka, en naturlig eller byggd damm. För bäckar, åar och sjöar eller havsstrand rekommenderas som strandzon en betydligt bredare skyddszon. Som vattenelement räknas inte små, separata, byggda vattenelement såsom springbrunnar, fågelbassänger osv. Med vegetation som bevaras i naturtillstånd avses här vilken vegetation som helst som naturligt har utvecklats eller håller på att utvecklas och som inte underhålls regelbundet.</t>
    </r>
  </si>
  <si>
    <r>
      <rPr>
        <b/>
        <sz val="10"/>
        <color theme="1"/>
        <rFont val="Arial"/>
        <family val="2"/>
      </rPr>
      <t>3/2024</t>
    </r>
  </si>
  <si>
    <r>
      <rPr>
        <sz val="11"/>
        <color theme="1"/>
        <rFont val="Arial"/>
        <family val="2"/>
      </rPr>
      <t>-</t>
    </r>
  </si>
  <si>
    <r>
      <rPr>
        <sz val="11"/>
        <color theme="1"/>
        <rFont val="Arial"/>
        <family val="2"/>
      </rPr>
      <t>-</t>
    </r>
  </si>
  <si>
    <r>
      <rPr>
        <sz val="11"/>
        <color theme="1"/>
        <rFont val="Arial"/>
        <family val="2"/>
      </rPr>
      <t>-</t>
    </r>
  </si>
  <si>
    <r>
      <rPr>
        <sz val="11"/>
        <color theme="1"/>
        <rFont val="Arial"/>
        <family val="2"/>
      </rPr>
      <t>-</t>
    </r>
  </si>
  <si>
    <r>
      <rPr>
        <sz val="12"/>
        <rFont val="Arial"/>
        <family val="2"/>
      </rPr>
      <t>-</t>
    </r>
  </si>
  <si>
    <r>
      <rPr>
        <sz val="12"/>
        <rFont val="Arial"/>
        <family val="2"/>
      </rPr>
      <t>-</t>
    </r>
  </si>
  <si>
    <r>
      <rPr>
        <sz val="12"/>
        <rFont val="Arial"/>
        <family val="2"/>
      </rPr>
      <t>-</t>
    </r>
  </si>
  <si>
    <r>
      <rPr>
        <sz val="11"/>
        <rFont val="Arial"/>
        <family val="2"/>
      </rPr>
      <t>Planerad markanvändning</t>
    </r>
  </si>
  <si>
    <r>
      <rPr>
        <sz val="11"/>
        <color theme="1"/>
        <rFont val="Arial"/>
        <family val="2"/>
      </rPr>
      <t>”TO HIDE” ”ytbeläggningar alla”</t>
    </r>
  </si>
  <si>
    <r>
      <rPr>
        <sz val="11"/>
        <color theme="1"/>
        <rFont val="Arial"/>
        <family val="2"/>
      </rPr>
      <t>”TO HIDE” ”ytbeläggningar veg covered”</t>
    </r>
  </si>
  <si>
    <r>
      <rPr>
        <sz val="11"/>
        <color theme="1"/>
        <rFont val="Arial"/>
        <family val="2"/>
      </rPr>
      <t>”TO HIDE”  övre våning</t>
    </r>
  </si>
  <si>
    <r>
      <rPr>
        <sz val="11"/>
        <color theme="1"/>
        <rFont val="Arial"/>
        <family val="2"/>
      </rPr>
      <t>”TO HIDE”  nedre våning</t>
    </r>
  </si>
  <si>
    <r>
      <rPr>
        <b/>
        <sz val="12"/>
        <color theme="1"/>
        <rFont val="Arial"/>
        <family val="2"/>
      </rPr>
      <t>Målnivå</t>
    </r>
  </si>
  <si>
    <r>
      <rPr>
        <sz val="12"/>
        <color theme="1"/>
        <rFont val="Arial"/>
        <family val="2"/>
      </rPr>
      <t>st.</t>
    </r>
  </si>
  <si>
    <r>
      <rPr>
        <sz val="12"/>
        <color theme="1"/>
        <rFont val="Arial"/>
        <family val="2"/>
      </rPr>
      <t>st.</t>
    </r>
  </si>
  <si>
    <r>
      <rPr>
        <sz val="12"/>
        <color theme="1"/>
        <rFont val="Arial"/>
        <family val="2"/>
      </rPr>
      <t>st.</t>
    </r>
  </si>
  <si>
    <r>
      <rPr>
        <sz val="12"/>
        <color theme="1"/>
        <rFont val="Arial"/>
        <family val="2"/>
      </rPr>
      <t>st.</t>
    </r>
  </si>
  <si>
    <r>
      <rPr>
        <sz val="12"/>
        <rFont val="Arial"/>
        <family val="2"/>
      </rPr>
      <t>m²</t>
    </r>
  </si>
  <si>
    <r>
      <rPr>
        <sz val="12"/>
        <rFont val="Arial"/>
        <family val="2"/>
      </rPr>
      <t>m²</t>
    </r>
  </si>
  <si>
    <r>
      <rPr>
        <sz val="11"/>
        <rFont val="Calibri"/>
        <family val="2"/>
      </rPr>
      <t>i</t>
    </r>
  </si>
  <si>
    <r>
      <rPr>
        <sz val="12"/>
        <color theme="1"/>
        <rFont val="Arial"/>
        <family val="2"/>
      </rPr>
      <t>st.</t>
    </r>
  </si>
  <si>
    <r>
      <rPr>
        <sz val="12"/>
        <color theme="1"/>
        <rFont val="Arial"/>
        <family val="2"/>
      </rPr>
      <t>st.</t>
    </r>
  </si>
  <si>
    <r>
      <rPr>
        <sz val="12"/>
        <color theme="1"/>
        <rFont val="Arial"/>
        <family val="2"/>
      </rPr>
      <t>st.</t>
    </r>
  </si>
  <si>
    <r>
      <rPr>
        <sz val="12"/>
        <color theme="1"/>
        <rFont val="Arial"/>
        <family val="2"/>
      </rPr>
      <t>st.</t>
    </r>
  </si>
  <si>
    <r>
      <rPr>
        <sz val="12"/>
        <rFont val="Arial"/>
        <family val="2"/>
      </rPr>
      <t>st.</t>
    </r>
  </si>
  <si>
    <r>
      <rPr>
        <sz val="12"/>
        <rFont val="Arial"/>
        <family val="2"/>
      </rPr>
      <t>m²</t>
    </r>
  </si>
  <si>
    <r>
      <rPr>
        <sz val="12"/>
        <rFont val="Arial"/>
        <family val="2"/>
      </rPr>
      <t>m²</t>
    </r>
  </si>
  <si>
    <r>
      <rPr>
        <sz val="12"/>
        <rFont val="Arial"/>
        <family val="2"/>
      </rPr>
      <t>m²</t>
    </r>
  </si>
  <si>
    <r>
      <rPr>
        <b/>
        <sz val="12"/>
        <color theme="1"/>
        <rFont val="Arial"/>
        <family val="2"/>
      </rPr>
      <t>Faktorer som beaktas vid beräkningen</t>
    </r>
  </si>
  <si>
    <r>
      <rPr>
        <sz val="12"/>
        <rFont val="Arial"/>
        <family val="2"/>
      </rPr>
      <t>m²</t>
    </r>
  </si>
  <si>
    <r>
      <rPr>
        <sz val="12"/>
        <rFont val="Arial"/>
        <family val="2"/>
      </rPr>
      <t>m²</t>
    </r>
  </si>
  <si>
    <r>
      <rPr>
        <sz val="12"/>
        <rFont val="Arial"/>
        <family val="2"/>
      </rPr>
      <t>m²</t>
    </r>
  </si>
  <si>
    <r>
      <rPr>
        <sz val="11"/>
        <color theme="1"/>
        <rFont val="Arial"/>
        <family val="2"/>
      </rPr>
      <t>Mer</t>
    </r>
  </si>
  <si>
    <r>
      <rPr>
        <sz val="12"/>
        <rFont val="Arial"/>
        <family val="2"/>
      </rPr>
      <t>st.</t>
    </r>
  </si>
  <si>
    <r>
      <rPr>
        <sz val="12"/>
        <color theme="1"/>
        <rFont val="Arial"/>
        <family val="2"/>
      </rPr>
      <t>i</t>
    </r>
  </si>
  <si>
    <r>
      <rPr>
        <sz val="12"/>
        <rFont val="Arial"/>
        <family val="2"/>
      </rPr>
      <t>m²</t>
    </r>
  </si>
  <si>
    <r>
      <rPr>
        <sz val="12"/>
        <rFont val="Arial"/>
        <family val="2"/>
      </rPr>
      <t>-</t>
    </r>
  </si>
  <si>
    <r>
      <rPr>
        <sz val="12"/>
        <color theme="1"/>
        <rFont val="Arial"/>
        <family val="2"/>
      </rPr>
      <t>i</t>
    </r>
  </si>
  <si>
    <r>
      <rPr>
        <sz val="12"/>
        <rFont val="Arial"/>
        <family val="2"/>
      </rPr>
      <t>m²</t>
    </r>
  </si>
  <si>
    <r>
      <rPr>
        <sz val="12"/>
        <color theme="1"/>
        <rFont val="Arial"/>
        <family val="2"/>
      </rPr>
      <t>i</t>
    </r>
  </si>
  <si>
    <r>
      <rPr>
        <sz val="12"/>
        <rFont val="Arial"/>
        <family val="2"/>
      </rPr>
      <t>m²</t>
    </r>
  </si>
  <si>
    <r>
      <rPr>
        <sz val="12"/>
        <rFont val="Arial"/>
        <family val="2"/>
      </rPr>
      <t>Mer</t>
    </r>
  </si>
  <si>
    <r>
      <rPr>
        <sz val="12"/>
        <color theme="1"/>
        <rFont val="Arial"/>
        <family val="2"/>
      </rPr>
      <t>i</t>
    </r>
  </si>
  <si>
    <r>
      <rPr>
        <sz val="12"/>
        <rFont val="Arial"/>
        <family val="2"/>
      </rPr>
      <t>m²</t>
    </r>
  </si>
  <si>
    <r>
      <rPr>
        <sz val="12"/>
        <color theme="1"/>
        <rFont val="Arial"/>
        <family val="2"/>
      </rPr>
      <t>i</t>
    </r>
  </si>
  <si>
    <r>
      <rPr>
        <sz val="12"/>
        <rFont val="Arial"/>
        <family val="2"/>
      </rPr>
      <t>m²</t>
    </r>
  </si>
  <si>
    <r>
      <rPr>
        <sz val="12"/>
        <color theme="1"/>
        <rFont val="Arial"/>
        <family val="2"/>
      </rPr>
      <t>i</t>
    </r>
  </si>
  <si>
    <r>
      <rPr>
        <sz val="12"/>
        <rFont val="Arial"/>
        <family val="2"/>
      </rPr>
      <t>m²</t>
    </r>
  </si>
  <si>
    <r>
      <rPr>
        <sz val="12"/>
        <color theme="1"/>
        <rFont val="Arial"/>
        <family val="2"/>
      </rPr>
      <t>Mer</t>
    </r>
  </si>
  <si>
    <r>
      <rPr>
        <sz val="12"/>
        <rFont val="Arial"/>
        <family val="2"/>
      </rPr>
      <t>m²</t>
    </r>
  </si>
  <si>
    <r>
      <rPr>
        <sz val="12"/>
        <rFont val="Arial"/>
        <family val="2"/>
      </rPr>
      <t>-</t>
    </r>
  </si>
  <si>
    <r>
      <rPr>
        <sz val="12"/>
        <rFont val="Arial"/>
        <family val="2"/>
      </rPr>
      <t>-</t>
    </r>
  </si>
  <si>
    <r>
      <rPr>
        <sz val="12"/>
        <color theme="1"/>
        <rFont val="Arial"/>
        <family val="2"/>
      </rPr>
      <t>i</t>
    </r>
  </si>
  <si>
    <r>
      <rPr>
        <sz val="12"/>
        <rFont val="Arial"/>
        <family val="2"/>
      </rPr>
      <t>m²</t>
    </r>
  </si>
  <si>
    <r>
      <rPr>
        <sz val="12"/>
        <color theme="1"/>
        <rFont val="Arial"/>
        <family val="2"/>
      </rPr>
      <t>i</t>
    </r>
  </si>
  <si>
    <r>
      <rPr>
        <sz val="12"/>
        <rFont val="Arial"/>
        <family val="2"/>
      </rPr>
      <t>m²</t>
    </r>
  </si>
  <si>
    <r>
      <rPr>
        <sz val="12"/>
        <color theme="1"/>
        <rFont val="Arial"/>
        <family val="2"/>
      </rPr>
      <t>i</t>
    </r>
  </si>
  <si>
    <r>
      <rPr>
        <sz val="12"/>
        <rFont val="Arial"/>
        <family val="2"/>
      </rPr>
      <t>m²</t>
    </r>
  </si>
  <si>
    <r>
      <rPr>
        <b/>
        <sz val="12"/>
        <color theme="1"/>
        <rFont val="Arial"/>
        <family val="2"/>
      </rPr>
      <t>Datum</t>
    </r>
  </si>
  <si>
    <r>
      <rPr>
        <sz val="12"/>
        <color theme="1"/>
        <rFont val="Arial"/>
        <family val="2"/>
      </rPr>
      <t>i</t>
    </r>
  </si>
  <si>
    <r>
      <rPr>
        <sz val="12"/>
        <rFont val="Arial"/>
        <family val="2"/>
      </rPr>
      <t>m²</t>
    </r>
  </si>
  <si>
    <r>
      <rPr>
        <sz val="12"/>
        <color theme="1"/>
        <rFont val="Arial"/>
        <family val="2"/>
      </rPr>
      <t>i</t>
    </r>
  </si>
  <si>
    <r>
      <rPr>
        <sz val="12"/>
        <rFont val="Arial"/>
        <family val="2"/>
      </rPr>
      <t>m²</t>
    </r>
  </si>
  <si>
    <r>
      <rPr>
        <b/>
        <sz val="12"/>
        <color theme="1"/>
        <rFont val="Arial"/>
        <family val="2"/>
      </rPr>
      <t>Personens namn</t>
    </r>
  </si>
  <si>
    <r>
      <rPr>
        <sz val="12"/>
        <color theme="1"/>
        <rFont val="Arial"/>
        <family val="2"/>
      </rPr>
      <t>i</t>
    </r>
  </si>
  <si>
    <r>
      <rPr>
        <sz val="12"/>
        <rFont val="Arial"/>
        <family val="2"/>
      </rPr>
      <t>-</t>
    </r>
  </si>
  <si>
    <r>
      <rPr>
        <sz val="12"/>
        <rFont val="Arial"/>
        <family val="2"/>
      </rPr>
      <t>Mer</t>
    </r>
  </si>
  <si>
    <r>
      <rPr>
        <sz val="12"/>
        <color theme="1"/>
        <rFont val="Arial"/>
        <family val="2"/>
      </rPr>
      <t>i</t>
    </r>
  </si>
  <si>
    <r>
      <rPr>
        <sz val="12"/>
        <rFont val="Arial"/>
        <family val="2"/>
      </rPr>
      <t>m</t>
    </r>
    <r>
      <rPr>
        <vertAlign val="superscript"/>
        <sz val="12"/>
        <rFont val="Arial"/>
        <family val="2"/>
      </rPr>
      <t>3</t>
    </r>
  </si>
  <si>
    <r>
      <rPr>
        <sz val="12"/>
        <rFont val="Arial"/>
        <family val="2"/>
      </rPr>
      <t>-</t>
    </r>
  </si>
  <si>
    <r>
      <rPr>
        <sz val="12"/>
        <rFont val="Arial"/>
        <family val="2"/>
      </rPr>
      <t>-</t>
    </r>
  </si>
  <si>
    <r>
      <rPr>
        <sz val="12"/>
        <rFont val="Arial"/>
        <family val="2"/>
      </rPr>
      <t>m²</t>
    </r>
  </si>
  <si>
    <r>
      <rPr>
        <sz val="12"/>
        <rFont val="Arial"/>
        <family val="2"/>
      </rPr>
      <t>m²</t>
    </r>
  </si>
  <si>
    <r>
      <rPr>
        <sz val="12"/>
        <rFont val="Arial"/>
        <family val="2"/>
      </rPr>
      <t xml:space="preserve"> -</t>
    </r>
  </si>
  <si>
    <r>
      <rPr>
        <b/>
        <sz val="12"/>
        <color theme="1"/>
        <rFont val="Arial"/>
        <family val="2"/>
      </rPr>
      <t>Kvartersnummer</t>
    </r>
  </si>
  <si>
    <r>
      <rPr>
        <sz val="12"/>
        <rFont val="Arial"/>
        <family val="2"/>
      </rPr>
      <t>st.</t>
    </r>
  </si>
  <si>
    <r>
      <rPr>
        <sz val="12"/>
        <rFont val="Arial"/>
        <family val="2"/>
      </rPr>
      <t xml:space="preserve"> -</t>
    </r>
  </si>
  <si>
    <r>
      <rPr>
        <sz val="12"/>
        <rFont val="Arial"/>
        <family val="2"/>
      </rPr>
      <t>st.</t>
    </r>
  </si>
  <si>
    <r>
      <rPr>
        <sz val="12"/>
        <rFont val="Arial"/>
        <family val="2"/>
      </rPr>
      <t xml:space="preserve"> -</t>
    </r>
  </si>
  <si>
    <r>
      <rPr>
        <b/>
        <sz val="12"/>
        <color theme="1"/>
        <rFont val="Arial"/>
        <family val="2"/>
      </rPr>
      <t>Tomtnummer</t>
    </r>
  </si>
  <si>
    <r>
      <rPr>
        <sz val="12"/>
        <rFont val="Arial"/>
        <family val="2"/>
      </rPr>
      <t>st.</t>
    </r>
  </si>
  <si>
    <r>
      <rPr>
        <sz val="12"/>
        <rFont val="Arial"/>
        <family val="2"/>
      </rPr>
      <t xml:space="preserve"> -</t>
    </r>
  </si>
  <si>
    <r>
      <rPr>
        <sz val="12"/>
        <rFont val="Arial"/>
        <family val="2"/>
      </rPr>
      <t>m²</t>
    </r>
  </si>
  <si>
    <r>
      <rPr>
        <sz val="12"/>
        <rFont val="Arial"/>
        <family val="2"/>
      </rPr>
      <t xml:space="preserve"> -</t>
    </r>
  </si>
  <si>
    <r>
      <rPr>
        <sz val="12"/>
        <rFont val="Arial"/>
        <family val="2"/>
      </rPr>
      <t>m</t>
    </r>
    <r>
      <rPr>
        <vertAlign val="superscript"/>
        <sz val="12"/>
        <rFont val="Arial"/>
        <family val="2"/>
      </rPr>
      <t>3</t>
    </r>
  </si>
  <si>
    <r>
      <rPr>
        <sz val="12"/>
        <rFont val="Arial"/>
        <family val="2"/>
      </rPr>
      <t xml:space="preserve"> -</t>
    </r>
  </si>
  <si>
    <r>
      <rPr>
        <sz val="12"/>
        <color theme="1"/>
        <rFont val="Arial"/>
        <family val="2"/>
      </rPr>
      <t>Mer</t>
    </r>
  </si>
  <si>
    <r>
      <rPr>
        <sz val="12"/>
        <rFont val="Arial"/>
        <family val="2"/>
      </rPr>
      <t xml:space="preserve"> -</t>
    </r>
  </si>
  <si>
    <r>
      <rPr>
        <sz val="12"/>
        <color theme="1"/>
        <rFont val="Arial"/>
        <family val="2"/>
      </rPr>
      <t>Nästa</t>
    </r>
  </si>
  <si>
    <r>
      <rPr>
        <b/>
        <sz val="12"/>
        <color theme="1"/>
        <rFont val="Arial"/>
        <family val="2"/>
      </rPr>
      <t>Svar</t>
    </r>
  </si>
  <si>
    <r>
      <rPr>
        <sz val="11"/>
        <color theme="1"/>
        <rFont val="Arial"/>
        <family val="2"/>
      </rPr>
      <t>i</t>
    </r>
  </si>
  <si>
    <r>
      <rPr>
        <sz val="10"/>
        <rFont val="Arial"/>
        <family val="2"/>
      </rPr>
      <t>-</t>
    </r>
  </si>
  <si>
    <r>
      <rPr>
        <sz val="11"/>
        <color theme="1"/>
        <rFont val="Arial"/>
        <family val="2"/>
      </rPr>
      <t>i</t>
    </r>
  </si>
  <si>
    <r>
      <rPr>
        <sz val="10"/>
        <rFont val="Arial"/>
        <family val="2"/>
      </rPr>
      <t>-</t>
    </r>
  </si>
  <si>
    <r>
      <rPr>
        <sz val="11"/>
        <color theme="1"/>
        <rFont val="Arial"/>
        <family val="2"/>
      </rPr>
      <t>i</t>
    </r>
  </si>
  <si>
    <r>
      <rPr>
        <sz val="11"/>
        <color theme="1"/>
        <rFont val="Arial"/>
        <family val="2"/>
      </rPr>
      <t>i</t>
    </r>
  </si>
  <si>
    <r>
      <rPr>
        <sz val="11"/>
        <color theme="1"/>
        <rFont val="Arial"/>
        <family val="2"/>
      </rPr>
      <t>i</t>
    </r>
  </si>
  <si>
    <r>
      <rPr>
        <sz val="11"/>
        <color theme="1"/>
        <rFont val="Calibri"/>
        <family val="2"/>
      </rPr>
      <t>i</t>
    </r>
  </si>
  <si>
    <r>
      <rPr>
        <sz val="11"/>
        <color theme="1"/>
        <rFont val="Arial"/>
        <family val="2"/>
      </rPr>
      <t>i</t>
    </r>
  </si>
  <si>
    <r>
      <rPr>
        <sz val="11"/>
        <color theme="1"/>
        <rFont val="Arial"/>
        <family val="2"/>
      </rPr>
      <t>i</t>
    </r>
  </si>
  <si>
    <r>
      <rPr>
        <sz val="11"/>
        <color theme="1"/>
        <rFont val="Arial"/>
        <family val="2"/>
      </rPr>
      <t>i</t>
    </r>
  </si>
  <si>
    <r>
      <rPr>
        <sz val="11"/>
        <color theme="1"/>
        <rFont val="Arial"/>
        <family val="2"/>
      </rPr>
      <t>i</t>
    </r>
  </si>
  <si>
    <r>
      <rPr>
        <sz val="11"/>
        <color theme="1"/>
        <rFont val="Arial"/>
        <family val="2"/>
      </rPr>
      <t>i</t>
    </r>
  </si>
  <si>
    <r>
      <rPr>
        <sz val="11"/>
        <color theme="1"/>
        <rFont val="Arial"/>
        <family val="2"/>
      </rPr>
      <t>i</t>
    </r>
  </si>
  <si>
    <r>
      <rPr>
        <sz val="11"/>
        <color theme="1"/>
        <rFont val="Arial"/>
        <family val="2"/>
      </rPr>
      <t>i</t>
    </r>
  </si>
  <si>
    <r>
      <rPr>
        <sz val="11"/>
        <color theme="1"/>
        <rFont val="Arial"/>
        <family val="2"/>
      </rPr>
      <t>i</t>
    </r>
  </si>
  <si>
    <r>
      <rPr>
        <sz val="11"/>
        <color theme="1"/>
        <rFont val="Arial"/>
        <family val="2"/>
      </rPr>
      <t>i</t>
    </r>
  </si>
  <si>
    <r>
      <rPr>
        <sz val="11"/>
        <color theme="1"/>
        <rFont val="Arial"/>
        <family val="2"/>
      </rPr>
      <t>i</t>
    </r>
  </si>
  <si>
    <r>
      <rPr>
        <sz val="11"/>
        <color theme="1"/>
        <rFont val="Arial"/>
        <family val="2"/>
      </rPr>
      <t>i</t>
    </r>
  </si>
  <si>
    <r>
      <rPr>
        <sz val="12"/>
        <color theme="1"/>
        <rFont val="Arial"/>
        <family val="2"/>
      </rPr>
      <t>Nästa</t>
    </r>
  </si>
  <si>
    <r>
      <rPr>
        <b/>
        <sz val="12"/>
        <color theme="1"/>
        <rFont val="Arial"/>
        <family val="2"/>
      </rPr>
      <t>Fråga</t>
    </r>
  </si>
  <si>
    <r>
      <rPr>
        <b/>
        <sz val="12"/>
        <color theme="1"/>
        <rFont val="Arial"/>
        <family val="2"/>
      </rPr>
      <t>Svar</t>
    </r>
  </si>
  <si>
    <r>
      <rPr>
        <sz val="11"/>
        <rFont val="Arial"/>
        <family val="2"/>
      </rPr>
      <t>Tomtens andel i areal av den kvarblivande ursprungliga marktäckande vegetationen</t>
    </r>
  </si>
  <si>
    <r>
      <rPr>
        <sz val="11"/>
        <rFont val="Arial"/>
        <family val="2"/>
      </rPr>
      <t>Antalet arter på genomsnittliga över 10 m² stora planteringsområden</t>
    </r>
  </si>
  <si>
    <r>
      <rPr>
        <sz val="11"/>
        <rFont val="Arial"/>
        <family val="2"/>
      </rPr>
      <t>De arter som blir kvar och de som planteras kommer som fullvuxna att finnas i minst tre olika lager</t>
    </r>
  </si>
  <si>
    <r>
      <rPr>
        <sz val="11"/>
        <rFont val="Arial"/>
        <family val="2"/>
      </rPr>
      <t>På tomten/i kvarteret finns det efter byggandet inga invasiva främmande arter från förteckningen Vieraslaji.fi</t>
    </r>
  </si>
  <si>
    <r>
      <rPr>
        <sz val="11"/>
        <rFont val="Arial"/>
        <family val="2"/>
      </rPr>
      <t>På tomten/i kvarteret finns det efter byggandet inga arter kvar från förteckningen Vieraslaji.fi</t>
    </r>
  </si>
  <si>
    <r>
      <rPr>
        <sz val="11"/>
        <rFont val="Arial"/>
        <family val="2"/>
      </rPr>
      <t>Minst hälften av de träd som blir kvar och de som planteras är inhemska arter i naturtillstånd eller arter förädlade av dem (antal träd)</t>
    </r>
  </si>
  <si>
    <r>
      <rPr>
        <sz val="11"/>
        <rFont val="Arial"/>
        <family val="2"/>
      </rPr>
      <t>Minst hälften av de buskar som blir kvar och de som planteras är inhemska arter i naturtillstånd eller arter förädlade av dem (antal buskar)</t>
    </r>
  </si>
  <si>
    <r>
      <rPr>
        <sz val="11"/>
        <rFont val="Arial"/>
        <family val="2"/>
      </rPr>
      <t>Minst hälften av de gräsarter eller ris som blir kvar, planteras eller sås är inhemska arter i naturtillstånd eller arter som förädlats av dem (areal för plantering)</t>
    </r>
  </si>
  <si>
    <r>
      <rPr>
        <sz val="11"/>
        <rFont val="Arial"/>
        <family val="2"/>
      </rPr>
      <t>De arter i naturtillstånd som blir kvar och de som planteras eller de arter som förädlats av dem har valts från samma naturtyp</t>
    </r>
  </si>
  <si>
    <r>
      <rPr>
        <sz val="11"/>
        <rFont val="Arial"/>
        <family val="2"/>
      </rPr>
      <t>En struktur eller konstruktion som erbjuder skydds- och växtplatser, såsom ett naturstenskummel eller en naturstensmur på tomten/i kvarteret</t>
    </r>
  </si>
  <si>
    <r>
      <rPr>
        <sz val="11"/>
        <rFont val="Arial"/>
        <family val="2"/>
      </rPr>
      <t>Att bygga en lövkompost på tomten</t>
    </r>
  </si>
  <si>
    <r>
      <rPr>
        <sz val="11"/>
        <color theme="1"/>
        <rFont val="Arial"/>
        <family val="2"/>
      </rPr>
      <t>ett minst 2 m långt staket av murket trä eller motsvarande konstruktion för bevarande av ett mindre murket träd</t>
    </r>
  </si>
  <si>
    <r>
      <rPr>
        <sz val="11"/>
        <rFont val="Arial"/>
        <family val="2"/>
      </rPr>
      <t>Tomten/kvarteret har en permanent vattentäkt där djuren kan dricka i säkerhet.</t>
    </r>
  </si>
  <si>
    <r>
      <rPr>
        <sz val="11"/>
        <rFont val="Arial"/>
        <family val="2"/>
      </rPr>
      <t>I planteringarna används nektarrika växter tidigt på våren</t>
    </r>
  </si>
  <si>
    <r>
      <rPr>
        <sz val="11"/>
        <rFont val="Arial"/>
        <family val="2"/>
      </rPr>
      <t>Blomningen av de nektarväxter som använts i planteringar pågår sammanlagt minst 3 mån.</t>
    </r>
  </si>
  <si>
    <r>
      <rPr>
        <sz val="11"/>
        <rFont val="Arial"/>
        <family val="2"/>
      </rPr>
      <t>Vid planteringen används minst tre träd- eller buskarter som producerar ätbara bär, frukter eller nötter</t>
    </r>
  </si>
  <si>
    <r>
      <rPr>
        <b/>
        <sz val="11"/>
        <color theme="1"/>
        <rFont val="Arial"/>
        <family val="2"/>
      </rPr>
      <t>Personens namn</t>
    </r>
  </si>
  <si>
    <r>
      <rPr>
        <b/>
        <sz val="11"/>
        <color theme="1"/>
        <rFont val="Arial"/>
        <family val="2"/>
      </rPr>
      <t>Datum</t>
    </r>
  </si>
  <si>
    <r>
      <rPr>
        <b/>
        <sz val="11"/>
        <color theme="1"/>
        <rFont val="Arial"/>
        <family val="2"/>
      </rPr>
      <t>Objektets namn (adress)</t>
    </r>
  </si>
  <si>
    <r>
      <rPr>
        <b/>
        <sz val="11"/>
        <color theme="1"/>
        <rFont val="Arial"/>
        <family val="2"/>
      </rPr>
      <t>Tomtnummer</t>
    </r>
  </si>
  <si>
    <r>
      <rPr>
        <b/>
        <sz val="11"/>
        <color theme="1"/>
        <rFont val="Arial"/>
        <family val="2"/>
      </rPr>
      <t>Kvartersnummer</t>
    </r>
  </si>
  <si>
    <r>
      <rPr>
        <b/>
        <sz val="10"/>
        <color theme="1"/>
        <rFont val="Arial"/>
        <family val="2"/>
      </rPr>
      <t>Avrinningskoefficient C</t>
    </r>
  </si>
  <si>
    <r>
      <rPr>
        <b/>
        <sz val="11"/>
        <color theme="1"/>
        <rFont val="Arial"/>
        <family val="2"/>
      </rPr>
      <t>Elementtyp</t>
    </r>
  </si>
  <si>
    <r>
      <rPr>
        <b/>
        <sz val="12"/>
        <color theme="1"/>
        <rFont val="Arial"/>
        <family val="2"/>
      </rPr>
      <t>Målnivå</t>
    </r>
  </si>
  <si>
    <r>
      <rPr>
        <sz val="11"/>
        <color theme="1"/>
        <rFont val="Arial"/>
        <family val="2"/>
      </rPr>
      <t>Ytbeläggningar</t>
    </r>
  </si>
  <si>
    <r>
      <rPr>
        <sz val="11"/>
        <color theme="1"/>
        <rFont val="Arial"/>
        <family val="2"/>
      </rPr>
      <t>Konstruktioner för dagvattenhantering</t>
    </r>
  </si>
  <si>
    <r>
      <rPr>
        <sz val="11"/>
        <color theme="1"/>
        <rFont val="Arial"/>
        <family val="2"/>
      </rPr>
      <t>Bonuselement</t>
    </r>
  </si>
  <si>
    <r>
      <rPr>
        <sz val="11"/>
        <color theme="1"/>
        <rFont val="Arial"/>
        <family val="2"/>
      </rPr>
      <t>Föregående</t>
    </r>
  </si>
  <si>
    <r>
      <rPr>
        <b/>
        <sz val="11"/>
        <rFont val="Arial"/>
        <family val="2"/>
      </rPr>
      <t>Vegetation och jordmån som ska bevaras</t>
    </r>
  </si>
  <si>
    <r>
      <rPr>
        <b/>
        <sz val="11"/>
        <rFont val="Arial"/>
        <family val="2"/>
      </rPr>
      <t>Ekologi</t>
    </r>
  </si>
  <si>
    <r>
      <rPr>
        <sz val="10"/>
        <color theme="1"/>
        <rFont val="Arial"/>
        <family val="2"/>
      </rPr>
      <t>Färdiga träd som når en mindre storlek som fullvuxna medför samma nytta med tanke på landskapsvärdet som stora träd. Storleken anses vara sekundär med tanke på landskapet, eftersom det i sig är värdefullt att bevara träden. Landskapsvärdet påverkas i betydande grad av växtlighetens skick och art. Djupt rotade träd som växt i skogen (till exempel tall) anpassar sig bättre som enstaka träd än ytrotade träd (till exempel gran), som ofta förfaller när de hamnar i annorlunda växtförhållanden.</t>
    </r>
  </si>
  <si>
    <r>
      <rPr>
        <sz val="10"/>
        <color theme="1"/>
        <rFont val="Arial"/>
        <family val="2"/>
      </rPr>
      <t>Samma behov av skötsel som för ett stort träd som ska bevaras.</t>
    </r>
  </si>
  <si>
    <r>
      <rPr>
        <sz val="10"/>
        <color theme="1"/>
        <rFont val="Arial"/>
        <family val="2"/>
      </rPr>
      <t>Ett färdigt litet träd medför samma nytta som ett stort träd, men i mindre omfattning.</t>
    </r>
  </si>
  <si>
    <r>
      <rPr>
        <b/>
        <sz val="11"/>
        <rFont val="Arial"/>
        <family val="2"/>
      </rPr>
      <t>Funktionalitet</t>
    </r>
  </si>
  <si>
    <r>
      <rPr>
        <sz val="10"/>
        <color theme="1"/>
        <rFont val="Arial"/>
        <family val="2"/>
      </rPr>
      <t>Färdiga träd som når en mindre storlek som fullvuxna medför samma nytta med tanke på landskapsvärdet som stora träd. Storleken anses vara sekundär med tanke på landskapet, eftersom det i sig är värdefullt att bevara träden. Landskapsvärdet påverkas i betydande grad av växtlighetens skick och art. Djupt rotade träd som växt i skogen (till exempel tall) anpassar sig bättre som enstaka träd än ytrotade träd (till exempel gran), som ofta förfaller när de hamnar i annorlunda växtförhållanden.</t>
    </r>
  </si>
  <si>
    <r>
      <rPr>
        <sz val="10"/>
        <color theme="1"/>
        <rFont val="Arial"/>
        <family val="2"/>
      </rPr>
      <t>Samma behov av skötsel som för ett stort träd som ska bevaras.</t>
    </r>
  </si>
  <si>
    <r>
      <rPr>
        <sz val="10"/>
        <color theme="1"/>
        <rFont val="Arial"/>
        <family val="2"/>
      </rPr>
      <t>Ett färdigt litet träd medför samma nytta som ett stort träd, men i mindre omfattning.</t>
    </r>
  </si>
  <si>
    <r>
      <rPr>
        <b/>
        <sz val="11"/>
        <rFont val="Arial"/>
        <family val="2"/>
      </rPr>
      <t>Landskapsvärde</t>
    </r>
  </si>
  <si>
    <r>
      <rPr>
        <b/>
        <sz val="11"/>
        <rFont val="Arial"/>
        <family val="2"/>
      </rPr>
      <t>Underhåll</t>
    </r>
  </si>
  <si>
    <r>
      <rPr>
        <b/>
        <sz val="10"/>
        <rFont val="Arial"/>
        <family val="2"/>
      </rPr>
      <t>Ekologisk undervegetation som ska bevaras</t>
    </r>
  </si>
  <si>
    <r>
      <rPr>
        <b/>
        <sz val="10"/>
        <rFont val="Arial"/>
        <family val="2"/>
      </rPr>
      <t>Bevarad ytlig mark och växtlighet på bebyggt område (till exempel gräsplan)</t>
    </r>
  </si>
  <si>
    <r>
      <rPr>
        <b/>
        <sz val="11"/>
        <rFont val="Arial"/>
        <family val="2"/>
      </rPr>
      <t>Växtlighet som ska planteras/sås</t>
    </r>
  </si>
  <si>
    <r>
      <rPr>
        <sz val="10"/>
        <color theme="1"/>
        <rFont val="Arial"/>
        <family val="2"/>
      </rPr>
      <t>Ett litet träd som planteras medför samma nytta som ett stort träd som planteras, men i mindre omfattning (växtens och växtunderlagets storlek). En kort ålder minskar betydelsen av kolbindning.</t>
    </r>
  </si>
  <si>
    <r>
      <rPr>
        <sz val="10"/>
        <color theme="1"/>
        <rFont val="Arial"/>
        <family val="2"/>
      </rPr>
      <t>Samma behov av skötsel som för små träd.</t>
    </r>
  </si>
  <si>
    <r>
      <rPr>
        <b/>
        <sz val="10"/>
        <rFont val="Arial"/>
        <family val="2"/>
      </rPr>
      <t>Råhumus</t>
    </r>
  </si>
  <si>
    <r>
      <rPr>
        <sz val="11"/>
        <color theme="1"/>
        <rFont val="Arial"/>
        <family val="2"/>
      </rPr>
      <t>Tillbaka</t>
    </r>
  </si>
  <si>
    <r>
      <rPr>
        <b/>
        <sz val="11"/>
        <rFont val="Arial"/>
        <family val="2"/>
      </rPr>
      <t>Gröna tak och fasadvegetation</t>
    </r>
  </si>
  <si>
    <r>
      <rPr>
        <b/>
        <sz val="10"/>
        <rFont val="Arial"/>
        <family val="2"/>
      </rPr>
      <t>Grön vägg eller annan växtlighet som integreras i fasaden</t>
    </r>
  </si>
  <si>
    <r>
      <rPr>
        <sz val="11"/>
        <color theme="1"/>
        <rFont val="Arial"/>
        <family val="2"/>
      </rPr>
      <t>Tillbaka</t>
    </r>
  </si>
  <si>
    <r>
      <rPr>
        <b/>
        <sz val="10"/>
        <rFont val="Arial"/>
        <family val="2"/>
      </rPr>
      <t xml:space="preserve">Gröna tak: </t>
    </r>
    <r>
      <rPr>
        <b/>
        <sz val="10"/>
        <rFont val="Arial"/>
        <family val="2"/>
      </rPr>
      <t>Tak av fetknopp eller mossa, växtunderlagets tjocklek 4–9 cm</t>
    </r>
  </si>
  <si>
    <r>
      <rPr>
        <sz val="10"/>
        <color theme="1"/>
        <rFont val="Arial"/>
        <family val="2"/>
      </rPr>
      <t>Underhållsbehovet är detsamma som på ett tjockare grönt tak.</t>
    </r>
  </si>
  <si>
    <r>
      <rPr>
        <sz val="10"/>
        <rFont val="Arial"/>
        <family val="2"/>
      </rPr>
      <t xml:space="preserve">Potentialen för dagvattenhantering är densamma som för tjockare gröna tak, men i mindre omfattning på grund av att växtunderlaget är tunnare. </t>
    </r>
  </si>
  <si>
    <r>
      <rPr>
        <b/>
        <sz val="11"/>
        <rFont val="Arial"/>
        <family val="2"/>
      </rPr>
      <t>Ytbeläggningsalternativ</t>
    </r>
  </si>
  <si>
    <r>
      <rPr>
        <sz val="11"/>
        <color theme="1"/>
        <rFont val="Arial"/>
        <family val="2"/>
      </rPr>
      <t>Tillbaka</t>
    </r>
  </si>
  <si>
    <r>
      <rPr>
        <sz val="10"/>
        <rFont val="Arial"/>
        <family val="2"/>
      </rPr>
      <t>Samma funktionalitet som hos en gräsmatta, men den reglerande inverkan på mikroklimatet är mindre.</t>
    </r>
  </si>
  <si>
    <r>
      <rPr>
        <b/>
        <sz val="11"/>
        <rFont val="Arial"/>
        <family val="2"/>
      </rPr>
      <t>Konstruktioner för dagvattenhantering</t>
    </r>
  </si>
  <si>
    <r>
      <rPr>
        <sz val="10"/>
        <rFont val="Arial"/>
        <family val="2"/>
      </rPr>
      <t>Landskapsvärdet beror på hur fördjupningen förverkligas. En typisk sänka som är försedd med grus- och grästäcke kan jämföras med landskapvärdet för elementen i fråga.</t>
    </r>
  </si>
  <si>
    <r>
      <rPr>
        <sz val="11"/>
        <color theme="1"/>
        <rFont val="Arial"/>
        <family val="2"/>
      </rPr>
      <t>Tillbaka</t>
    </r>
  </si>
  <si>
    <r>
      <rPr>
        <sz val="10"/>
        <rFont val="Arial"/>
        <family val="2"/>
      </rPr>
      <t>Underhållsbehovet är jämförbart med underhållet av ett absorberande schakt. Omfattar till exempel spolning av täckdikningssystem och avlägsnande av fasta partiklar med sugmetoden (10).</t>
    </r>
  </si>
  <si>
    <r>
      <rPr>
        <b/>
        <sz val="11"/>
        <rFont val="Arial"/>
        <family val="2"/>
      </rPr>
      <t>Bonuselement</t>
    </r>
  </si>
  <si>
    <r>
      <rPr>
        <b/>
        <sz val="10"/>
        <rFont val="Arial"/>
        <family val="2"/>
      </rPr>
      <t>Insamling av dagvatten från takytorna som bevattningsvatten eller kontrollerad ledning av dagvatten till markbaserad växtlighet</t>
    </r>
  </si>
  <si>
    <r>
      <rPr>
        <sz val="10"/>
        <rFont val="Arial"/>
        <family val="2"/>
      </rPr>
      <t>Ingen betydelse för landskapet</t>
    </r>
  </si>
  <si>
    <r>
      <rPr>
        <b/>
        <sz val="10"/>
        <rFont val="Arial"/>
        <family val="2"/>
      </rPr>
      <t>Ledning av dagvatten från ogenomträngliga ytor till byggda vattenelement, såsom tjärnar och bäckar där vattnet byts/cirkulerar/strömmar</t>
    </r>
  </si>
  <si>
    <r>
      <rPr>
        <b/>
        <sz val="10"/>
        <rFont val="Arial"/>
        <family val="2"/>
      </rPr>
      <t xml:space="preserve">Skuggande stora träd (à 25 m²) på byggnadens södra och sydvästra sida (särskilt lövträd) </t>
    </r>
  </si>
  <si>
    <r>
      <rPr>
        <b/>
        <sz val="10"/>
        <rFont val="Arial"/>
        <family val="2"/>
      </rPr>
      <t xml:space="preserve">Skuggande litet träd (à 15 m²) på byggnadens södra och sydvästra sida (särskilt lövträd) </t>
    </r>
  </si>
  <si>
    <r>
      <rPr>
        <sz val="10"/>
        <rFont val="Arial"/>
        <family val="2"/>
      </rPr>
      <t>Betydelse för kolbindning och mångfald.</t>
    </r>
  </si>
  <si>
    <r>
      <rPr>
        <sz val="10"/>
        <rFont val="Arial"/>
        <family val="2"/>
      </rPr>
      <t>Möjliggör en trivsammare vistelse inom- och utomhus under perioder av hetta. Lövträdens höstfärger som lätt syns från fönstren ökar trivseln.</t>
    </r>
  </si>
  <si>
    <r>
      <rPr>
        <sz val="10"/>
        <rFont val="Arial"/>
        <family val="2"/>
      </rPr>
      <t>Träden har ett betydande värde i landskapet.</t>
    </r>
  </si>
  <si>
    <r>
      <rPr>
        <sz val="10"/>
        <rFont val="Arial"/>
        <family val="2"/>
      </rPr>
      <t>Inget betydande behov av underhåll.</t>
    </r>
  </si>
  <si>
    <r>
      <rPr>
        <b/>
        <sz val="10"/>
        <rFont val="Arial"/>
        <family val="2"/>
      </rPr>
      <t>Planteringar som producerar grödor som kan användas eller ätas: fruktträd (à 10 m²), bärbuskar (à 10 m²)</t>
    </r>
  </si>
  <si>
    <r>
      <rPr>
        <sz val="10"/>
        <color theme="1"/>
        <rFont val="Arial"/>
        <family val="2"/>
      </rPr>
      <t>Betydelse för rekreationsbruk (till exempel nyttoodling) och lärande av naturen.</t>
    </r>
  </si>
  <si>
    <r>
      <rPr>
        <sz val="10"/>
        <color theme="1"/>
        <rFont val="Arial"/>
        <family val="2"/>
      </rPr>
      <t>Inget betydande landskapsvärde</t>
    </r>
  </si>
  <si>
    <r>
      <rPr>
        <sz val="11"/>
        <color theme="1"/>
        <rFont val="Arial"/>
        <family val="2"/>
      </rPr>
      <t>Tillbaka</t>
    </r>
  </si>
  <si>
    <r>
      <rPr>
        <sz val="10"/>
        <color theme="1"/>
        <rFont val="Arial"/>
        <family val="2"/>
      </rPr>
      <t>Inget betydande landskapsvärde</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</si>
  <si>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</si>
  <si>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</si>
  <si>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</si>
  <si>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</si>
  <si>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</si>
  <si>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</si>
  <si>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</si>
  <si>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</si>
  <si>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</si>
  <si>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</si>
  <si>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</si>
  <si>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</si>
  <si>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sz val="11"/>
        <color theme="1"/>
        <rFont val="Arial"/>
        <family val="2"/>
      </rPr>
      <t>Tillbaka: Grönkoefficienten</t>
    </r>
  </si>
  <si>
    <r>
      <rPr>
        <b/>
        <sz val="14"/>
        <color theme="1"/>
        <rFont val="Arial"/>
        <family val="2"/>
      </rPr>
      <t>Klass</t>
    </r>
  </si>
  <si>
    <r>
      <rPr>
        <b/>
        <sz val="14"/>
        <rFont val="Arial"/>
        <family val="2"/>
      </rPr>
      <t>Fråga/påstående</t>
    </r>
  </si>
  <si>
    <r>
      <rPr>
        <sz val="11"/>
        <rFont val="Arial"/>
        <family val="2"/>
      </rPr>
      <t>Den ursprungliga marktäckande vegetationens andel av tomtens/kvarterets areal</t>
    </r>
  </si>
  <si>
    <r>
      <rPr>
        <sz val="11"/>
        <rFont val="Arial"/>
        <family val="2"/>
      </rPr>
      <t>Antalet arter på genomsnittliga över 10 m² stora planteringsområden</t>
    </r>
  </si>
  <si>
    <r>
      <rPr>
        <sz val="11"/>
        <rFont val="Arial"/>
        <family val="2"/>
      </rPr>
      <t>De arter som blir kvar och de som planteras kommer som fullvuxna att finnas i minst tre olika lager</t>
    </r>
  </si>
  <si>
    <r>
      <rPr>
        <sz val="11"/>
        <rFont val="Arial"/>
        <family val="2"/>
      </rPr>
      <t>På tomten/i kvarteret finns minst ett enhetligt planteringsområde som är minst 10 m² stort och som har växtlighet i minst tre olika lager.</t>
    </r>
  </si>
  <si>
    <r>
      <rPr>
        <sz val="11"/>
        <rFont val="Arial"/>
        <family val="2"/>
      </rPr>
      <t>En av varje kategori ska väljas:
1. Små eller stora träd
2. Låga eller höga buskar
3. Ris eller perennner
Marktäckande perenner räknas med i klassen lägsta växter, likaså mossar och lavar och välutvecklad äng eller gräsmark med många arter. Gräsmatta räknas inte som ett lager i detta sammanhang.</t>
    </r>
  </si>
  <si>
    <r>
      <rPr>
        <sz val="11"/>
        <rFont val="Arial"/>
        <family val="2"/>
      </rPr>
      <t>Vattenelementet på tomten/i kvarteret omges av en minst 3,0 meter bred skyddszon som ska hållas i naturenligt tillstånd.</t>
    </r>
  </si>
  <si>
    <r>
      <rPr>
        <sz val="11"/>
        <rFont val="Arial"/>
        <family val="2"/>
      </rPr>
      <t>Minst hälften av arterna i planteringarna är inhemska traditionsväxtarter eller arter som förädlats av dessa (planteringarnas areal)</t>
    </r>
  </si>
  <si>
    <r>
      <rPr>
        <b/>
        <sz val="12"/>
        <rFont val="Arial"/>
        <family val="2"/>
      </rPr>
      <t>Arternas ursprung</t>
    </r>
  </si>
  <si>
    <r>
      <rPr>
        <sz val="11"/>
        <rFont val="Arial"/>
        <family val="2"/>
      </rPr>
      <t>På tomten/i kvarteret finns det efter byggandet inga invasiva främmande arter från förteckningen Vieraslaji.fi</t>
    </r>
  </si>
  <si>
    <r>
      <rPr>
        <sz val="11"/>
        <rFont val="Arial"/>
        <family val="2"/>
      </rPr>
      <t>På tomten/i kvarteret finns det efter byggandet inga arter kvar från förteckningen Vieraslaji.fi</t>
    </r>
  </si>
  <si>
    <r>
      <rPr>
        <sz val="11"/>
        <rFont val="Arial"/>
        <family val="2"/>
      </rPr>
      <t>De arter i naturtillstånd som blir kvar och de som planteras eller de arter som förädlats av dem har valts från samma naturtyp</t>
    </r>
  </si>
  <si>
    <r>
      <rPr>
        <b/>
        <sz val="12"/>
        <rFont val="Arial"/>
        <family val="2"/>
      </rPr>
      <t>Att stödja arterna genom att erbjuda växtplatser och livsmiljöer</t>
    </r>
  </si>
  <si>
    <r>
      <rPr>
        <b/>
        <sz val="12"/>
        <rFont val="Arial"/>
        <family val="2"/>
      </rPr>
      <t>Användning av blommande och skördeproducerande arter</t>
    </r>
  </si>
  <si>
    <r>
      <rPr>
        <b/>
        <sz val="14"/>
        <rFont val="Arial"/>
        <family val="2"/>
      </rPr>
      <t>Elementtityypit</t>
    </r>
  </si>
  <si>
    <r>
      <rPr>
        <b/>
        <sz val="14"/>
        <rFont val="Arial"/>
        <family val="2"/>
      </rPr>
      <t>Elementit</t>
    </r>
  </si>
  <si>
    <r>
      <rPr>
        <b/>
        <sz val="14"/>
        <rFont val="Arial"/>
        <family val="2"/>
      </rPr>
      <t>Ekologisuus</t>
    </r>
  </si>
  <si>
    <r>
      <rPr>
        <b/>
        <sz val="14"/>
        <rFont val="Arial"/>
        <family val="2"/>
      </rPr>
      <t>Toiminnallisuus</t>
    </r>
  </si>
  <si>
    <r>
      <rPr>
        <b/>
        <sz val="14"/>
        <rFont val="Arial"/>
        <family val="2"/>
      </rPr>
      <t>Maisema-arvo</t>
    </r>
  </si>
  <si>
    <r>
      <rPr>
        <b/>
        <sz val="14"/>
        <rFont val="Arial"/>
        <family val="2"/>
      </rPr>
      <t>Kunnossapito</t>
    </r>
  </si>
  <si>
    <r>
      <rPr>
        <b/>
        <sz val="14"/>
        <rFont val="Arial"/>
        <family val="2"/>
      </rPr>
      <t>Hulevesi</t>
    </r>
  </si>
  <si>
    <r>
      <rPr>
        <b/>
        <sz val="14"/>
        <rFont val="Arial"/>
        <family val="2"/>
      </rPr>
      <t>Painotettu keskiarvo</t>
    </r>
  </si>
  <si>
    <r>
      <rPr>
        <b/>
        <sz val="11"/>
        <color theme="1"/>
        <rFont val="Arial"/>
        <family val="2"/>
      </rPr>
      <t>Ekologisuus</t>
    </r>
  </si>
  <si>
    <r>
      <rPr>
        <b/>
        <sz val="11"/>
        <color theme="1"/>
        <rFont val="Arial"/>
        <family val="2"/>
      </rPr>
      <t>Toiminnallisuus</t>
    </r>
  </si>
  <si>
    <r>
      <rPr>
        <b/>
        <sz val="11"/>
        <color theme="1"/>
        <rFont val="Arial"/>
        <family val="2"/>
      </rPr>
      <t>Maisema-arvo</t>
    </r>
  </si>
  <si>
    <r>
      <rPr>
        <b/>
        <sz val="11"/>
        <color theme="1"/>
        <rFont val="Arial"/>
        <family val="2"/>
      </rPr>
      <t>Kunnossapito</t>
    </r>
  </si>
  <si>
    <r>
      <rPr>
        <b/>
        <sz val="11"/>
        <color theme="1"/>
        <rFont val="Arial"/>
        <family val="2"/>
      </rPr>
      <t>Hulevesi</t>
    </r>
  </si>
  <si>
    <r>
      <rPr>
        <b/>
        <sz val="11"/>
        <color theme="1"/>
        <rFont val="Arial"/>
        <family val="2"/>
      </rPr>
      <t>Ekologisuus</t>
    </r>
  </si>
  <si>
    <r>
      <rPr>
        <b/>
        <sz val="11"/>
        <color theme="1"/>
        <rFont val="Arial"/>
        <family val="2"/>
      </rPr>
      <t>Toiminnallisuus</t>
    </r>
  </si>
  <si>
    <r>
      <rPr>
        <b/>
        <sz val="11"/>
        <color theme="1"/>
        <rFont val="Arial"/>
        <family val="2"/>
      </rPr>
      <t>Maisema-arvo</t>
    </r>
  </si>
  <si>
    <r>
      <rPr>
        <b/>
        <sz val="11"/>
        <color theme="1"/>
        <rFont val="Arial"/>
        <family val="2"/>
      </rPr>
      <t>Kunnossapito</t>
    </r>
  </si>
  <si>
    <r>
      <rPr>
        <b/>
        <sz val="11"/>
        <color theme="1"/>
        <rFont val="Arial"/>
        <family val="2"/>
      </rPr>
      <t>Hulevesi</t>
    </r>
  </si>
  <si>
    <r>
      <rPr>
        <b/>
        <sz val="11"/>
        <color theme="1"/>
        <rFont val="Arial"/>
        <family val="2"/>
      </rPr>
      <t>Yhteensä, %</t>
    </r>
  </si>
  <si>
    <r>
      <rPr>
        <b/>
        <sz val="14"/>
        <color theme="1"/>
        <rFont val="Arial"/>
        <family val="2"/>
      </rPr>
      <t>Asiantuntijahaastatteluista laskettu yleinen painotus osa-alueille</t>
    </r>
  </si>
  <si>
    <r>
      <rPr>
        <b/>
        <sz val="11"/>
        <rFont val="Arial"/>
        <family val="2"/>
      </rPr>
      <t>Säilytettävä kasvillisuus ja maaperä</t>
    </r>
  </si>
  <si>
    <r>
      <rPr>
        <b/>
        <sz val="10"/>
        <color theme="1"/>
        <rFont val="Arial"/>
        <family val="2"/>
      </rPr>
      <t>Säilytettävä hyväkuntoinen puu, Isokokoinen (täysikasvuisena &gt; 10 m) pitkäikäinen (elävät yli 100 vuotta)</t>
    </r>
  </si>
  <si>
    <r>
      <rPr>
        <sz val="10"/>
        <color theme="1"/>
        <rFont val="Arial"/>
        <family val="2"/>
      </rPr>
      <t>Vakiintuneella, täysikasvuisena suuren koon saavuttavalla, puulla on erittäin suuri merkitys pienilmaston tasaamiselle ja puhdistamiselle sekä näkösuojana toimimiselle (etenkin, jos kyseessä havupuu)(11). Puusto voi suojata myös jonkin verran melulta (1), joskin vaikutus onkin enimmäkseen psykologinen (näkösuoja vähentää melun häiritsevyyttä). Merkittävä myös toiminnallisuuden kannalta, esim. virkistyskäyttö ja luonnosta oppiminen (9). Hyväkuntoisen puun säilyttämisessä ei ole turvallisuusriskejä, mikäli puun juuriston ja rungon suojauksesta huolehditaan rakennusvaiheessa. Huom. Syväjuuriset, metsässä kasvaneet puut (esim. mänty) sopeutuvat paremmin yksittäispuiksi kuin pintajuuriset puut (esim. kuusi), jotka usein ränsistyvät joutuessaan erilaisiin kasvuoloihin.</t>
    </r>
  </si>
  <si>
    <r>
      <rPr>
        <sz val="11"/>
        <color theme="1"/>
        <rFont val="Arial"/>
        <family val="2"/>
      </rPr>
      <t>3 = Suuri merkitys</t>
    </r>
  </si>
  <si>
    <r>
      <rPr>
        <b/>
        <sz val="11"/>
        <color theme="1"/>
        <rFont val="Arial"/>
        <family val="2"/>
      </rPr>
      <t>Osa-alueet</t>
    </r>
  </si>
  <si>
    <r>
      <rPr>
        <b/>
        <i/>
        <sz val="11"/>
        <color theme="1"/>
        <rFont val="Arial"/>
        <family val="2"/>
      </rPr>
      <t>Osa-alueisiin kuuluvat toiminnot</t>
    </r>
  </si>
  <si>
    <r>
      <rPr>
        <b/>
        <sz val="10"/>
        <color theme="1"/>
        <rFont val="Arial"/>
        <family val="2"/>
      </rPr>
      <t>Säilytettävä hyväkuntoinen puu, Isokokoinen (täysikasvuisena &gt; 10 m) lyhytikäinen (elävät alle 100 vuotta)</t>
    </r>
  </si>
  <si>
    <r>
      <rPr>
        <sz val="10"/>
        <color theme="1"/>
        <rFont val="Arial"/>
        <family val="2"/>
      </rPr>
      <t xml:space="preserve">Lyhytikäisellä suurella puulla on samat hyödyt kuin pitkäikäisellä suurella puulla, mutta lyhyempi elinikä vähentää pitkäaikaista merkitystä erityisesti hiilensidonnassa. Myös elinympäristömerkitys jää pienemmäksi. Huom. Syväjuuriset, metsässä kasvaneet puut (esim. mänty) sopeutuvat paremmin yksittäispuiksi kuin pintajuuriset puut (esim. kuusi), jotka usein ränsistyvät joutuessaan erilaisiin kasvuoloihin. </t>
    </r>
  </si>
  <si>
    <r>
      <rPr>
        <sz val="10"/>
        <color theme="1"/>
        <rFont val="Arial"/>
        <family val="2"/>
      </rPr>
      <t>Lyhytikäisellä suurella puulla on samat hyödyt kuin pitkäikäisellä suurella puulla, mutta lyhyempi elinikä vähentää pitkäaikaista merkitystä. Puulla voi olla merkitystä myös hyötyviljelyn kannalta, mikäli kyseessä on hedelmäpuu.  Hyväkuntoisen puun säilyttämisessä ei ole turvallisuusriskejä, mikäli puun juuriston ja rungon suojauksesta huolehditaan rakennusvaiheessa. Huom. Syväjuuriset, metsässä kasvaneet puut (esim. mänty) sopeutuvat paremmin yksittäispuiksi kuin pintajuuriset puut (esim. kuusi), jotka usein ränsistyvät joutuessaan erilaisiin kasvuoloihin.</t>
    </r>
  </si>
  <si>
    <r>
      <rPr>
        <sz val="11"/>
        <color theme="1"/>
        <rFont val="Arial"/>
        <family val="2"/>
      </rPr>
      <t>2 = Kohtalainen merkitys</t>
    </r>
  </si>
  <si>
    <r>
      <rPr>
        <b/>
        <sz val="11"/>
        <color theme="1"/>
        <rFont val="Arial"/>
        <family val="2"/>
      </rPr>
      <t>Ekologisuus</t>
    </r>
  </si>
  <si>
    <r>
      <rPr>
        <b/>
        <sz val="10"/>
        <color theme="1"/>
        <rFont val="Arial"/>
        <family val="2"/>
      </rPr>
      <t>Säilytettävä hyväkuntoinen puu, Pienikokoinen (täysikasvuisena ≤ 10 m) pitkäikäinen (elävät yli 100 vuotta)</t>
    </r>
  </si>
  <si>
    <r>
      <rPr>
        <sz val="10"/>
        <color theme="1"/>
        <rFont val="Arial"/>
        <family val="2"/>
      </rPr>
      <t>Sama hoitotarve kuin isolla pitkäikäisellä säilytettävällä puulla.</t>
    </r>
  </si>
  <si>
    <r>
      <rPr>
        <sz val="11"/>
        <color theme="1"/>
        <rFont val="Arial"/>
        <family val="2"/>
      </rPr>
      <t>1 = Vähäinen merkitys</t>
    </r>
  </si>
  <si>
    <r>
      <rPr>
        <sz val="10"/>
        <color theme="1"/>
        <rFont val="Arial"/>
        <family val="2"/>
      </rPr>
      <t>Sama hoitotarve kuin isolla pitkäikäisellä säilytettävällä puulla.</t>
    </r>
  </si>
  <si>
    <r>
      <rPr>
        <sz val="11"/>
        <color theme="1"/>
        <rFont val="Arial"/>
        <family val="2"/>
      </rPr>
      <t>0 = Ei merkitystä</t>
    </r>
  </si>
  <si>
    <r>
      <rPr>
        <b/>
        <sz val="10"/>
        <color theme="1"/>
        <rFont val="Arial"/>
        <family val="2"/>
      </rPr>
      <t>Säilytettävä iso pensas, à 3 m², säilytettävä kasvualusta 3 m²</t>
    </r>
  </si>
  <si>
    <r>
      <rPr>
        <sz val="10"/>
        <color theme="1"/>
        <rFont val="Arial"/>
        <family val="2"/>
      </rPr>
      <t>Samat hyödyt kuin säilytettävillä yli 3-metrisillä puilla, mutta pienemmässä mittakaavassa. Pensailla on erityistä merkitystä elinympäristönä ja suojapaikkana monille pieneläimille.</t>
    </r>
  </si>
  <si>
    <r>
      <rPr>
        <sz val="10"/>
        <color theme="1"/>
        <rFont val="Arial"/>
        <family val="2"/>
      </rPr>
      <t xml:space="preserve">Samat hyödyt toiminnallisuudelle kuin säilytettävillä yli 3-metrisillä puilla, mutta pienemmässä mittakaavassa. Pensaalla voi olla merkitystä myös hyötyviljelyn kannalta, mikäli kyseessä on esimerkiksi marjapensas. </t>
    </r>
  </si>
  <si>
    <r>
      <rPr>
        <sz val="10"/>
        <color theme="1"/>
        <rFont val="Arial"/>
        <family val="2"/>
      </rPr>
      <t xml:space="preserve">Säilytettävällä niityllä tai pohjakasvillisuudella on samat hyödyt maisema-arvon kannalta kuin säilytettävillä pensailla. Maisema-arvoon vaikuttaa merkittävästi säilytettävän kasvillisuuden kunto.  </t>
    </r>
  </si>
  <si>
    <r>
      <rPr>
        <sz val="10"/>
        <color theme="1"/>
        <rFont val="Arial"/>
        <family val="2"/>
      </rPr>
      <t>Hoitotarve muuten sama kuin yli 3-metrisillä säilytettävillä puilla, mutta pensailla suurempi lannoitus- ja leikkaustarve.</t>
    </r>
  </si>
  <si>
    <r>
      <rPr>
        <b/>
        <sz val="10"/>
        <rFont val="Arial"/>
        <family val="2"/>
      </rPr>
      <t>Säilytettävä luonnonmukainen pohjakasvillisuus</t>
    </r>
  </si>
  <si>
    <r>
      <rPr>
        <sz val="10"/>
        <rFont val="Arial"/>
        <family val="2"/>
      </rPr>
      <t>Samat hyödyt toiminnallisuudelle kuin säilytettävillä puilla ja pensailla, mutta pienemmässä mittakaavassa. Mahdollinen herkkyys kulumiselle vähentää toiminnallisuutta.</t>
    </r>
  </si>
  <si>
    <r>
      <rPr>
        <sz val="10"/>
        <rFont val="Arial"/>
        <family val="2"/>
      </rPr>
      <t xml:space="preserve">Säilytettävällä niityllä tai pohjakasvillisuudella on samat hyödyt maisema-arvon kannalta kuin säilytettävillä pensailla. Maisema-arvoon vaikuttaa merkittävästi säilytettävän kasvillisuuden kunto.  </t>
    </r>
  </si>
  <si>
    <r>
      <rPr>
        <sz val="10"/>
        <rFont val="Arial"/>
        <family val="2"/>
      </rPr>
      <t>Niityn niitto 1-2 kertaa vuodessa; säilytettävän pohjakasvillisuuden kunnossapitotarve vaatii lisäselvitystä.</t>
    </r>
  </si>
  <si>
    <r>
      <rPr>
        <sz val="10"/>
        <rFont val="Arial"/>
        <family val="2"/>
      </rPr>
      <t>Vakiintuneella luonnontilaisella niityllä tai pohjakasvillisuudella on samat hyödyt kuin säilytettävillä puilla ja pensailla, mutta pienemmässä mittakaavassa.</t>
    </r>
  </si>
  <si>
    <r>
      <rPr>
        <b/>
        <sz val="10"/>
        <rFont val="Arial"/>
        <family val="2"/>
      </rPr>
      <t>Säilytettävä pintamaa ja kasvillisuus rakennetulla alueella (esim. nurmikko)</t>
    </r>
  </si>
  <si>
    <r>
      <rPr>
        <sz val="10"/>
        <rFont val="Arial"/>
        <family val="2"/>
      </rPr>
      <t>Pintamaan säilyttämisellä taataan maahan kertyneen hiilivaraston ja maaperäeliöstön säilyminen. Vanhoilla, monilajisiksi kehittyneillä nurmikoilla on huomattavasti suurempi merkitys monimuotoisuudelle kuin vastaperustetulla, tehohoidetuilla nurmikoilla.</t>
    </r>
  </si>
  <si>
    <r>
      <rPr>
        <sz val="10"/>
        <rFont val="Arial"/>
        <family val="2"/>
      </rPr>
      <t>Samat hyödyt toiminnallisuudelle kuin istutettavalla nurmikolla.</t>
    </r>
  </si>
  <si>
    <r>
      <rPr>
        <sz val="10"/>
        <rFont val="Arial"/>
        <family val="2"/>
      </rPr>
      <t>Alkuperäisellä tontin pinnanmuodolla ja erityisesti vanhalla nurmikolla on maisemallista arvoa. Maisema-arvoon vaikuttaa merkittävästi säilyvän kasvillisuuden kunto.</t>
    </r>
  </si>
  <si>
    <r>
      <rPr>
        <sz val="10"/>
        <rFont val="Arial"/>
        <family val="2"/>
      </rPr>
      <t>Kunnossapito- ja hoitotarve sama kuin nurmikolla, mutta perustamisvaiheen tehokkaamman hoidon jaksoa ei tarvita.</t>
    </r>
  </si>
  <si>
    <r>
      <rPr>
        <sz val="10"/>
        <rFont val="Arial"/>
        <family val="2"/>
      </rPr>
      <t xml:space="preserve">Samat hyödyt kuin perustettavalla nurmikolla. </t>
    </r>
  </si>
  <si>
    <r>
      <rPr>
        <sz val="11"/>
        <color theme="1"/>
        <rFont val="Arial"/>
        <family val="2"/>
      </rPr>
      <t>3 = Hoitotarve harvemmin kuin kerran vuodessa</t>
    </r>
  </si>
  <si>
    <r>
      <rPr>
        <b/>
        <sz val="10"/>
        <rFont val="Arial"/>
        <family val="2"/>
      </rPr>
      <t xml:space="preserve">Säilytettävä avokallio </t>
    </r>
  </si>
  <si>
    <r>
      <rPr>
        <sz val="10"/>
        <rFont val="Arial"/>
        <family val="2"/>
      </rPr>
      <t>Toiminnallisuutta lisää mahdollisuus virkistyskäyttöön ja luonnosta oppimiseen. Toiminnallisuutta vähentää kalliokasvillisuuden herkkyys kulumiselle, mistä johtuen mahdollinen suojaus tai kulun ohjaus (esim. portailla) voi olla tarpeen eroosion rajoittamiseksi ja turvallisuuden lisäämiseksi.</t>
    </r>
  </si>
  <si>
    <r>
      <rPr>
        <sz val="10"/>
        <rFont val="Arial"/>
        <family val="2"/>
      </rPr>
      <t>Avokallion maisema-arvo on huomattava. Kallion maisema-arvoa ei voi toisintaa keinotekoisesti jälkeenpäin, mistä johtuen se tulisi säilyttää maisemassa aina kun mahdollista.</t>
    </r>
  </si>
  <si>
    <r>
      <rPr>
        <sz val="10"/>
        <rFont val="Arial"/>
        <family val="2"/>
      </rPr>
      <t>Hoitotarve harvemmin kuin kerran vuodessa. Mahdollinen suojaus tai kulun ohjaus (esim. portailla) tarpeen eroosion rajoittamiseksi ja turvallisuuden lisäämiseksi.</t>
    </r>
  </si>
  <si>
    <r>
      <rPr>
        <sz val="10"/>
        <rFont val="Arial"/>
        <family val="2"/>
      </rPr>
      <t>Avokallio on yleensä läpäisemätön ja näin ollen suurentaa valumakerrointa ja samalla hulevesien määrää.</t>
    </r>
  </si>
  <si>
    <r>
      <rPr>
        <sz val="11"/>
        <color theme="1"/>
        <rFont val="Arial"/>
        <family val="2"/>
      </rPr>
      <t>2 = Hoitotarve 1-2 kertaa vuodessa</t>
    </r>
  </si>
  <si>
    <r>
      <rPr>
        <b/>
        <sz val="11"/>
        <color theme="1"/>
        <rFont val="Arial"/>
        <family val="2"/>
      </rPr>
      <t>Toiminnallisuus</t>
    </r>
  </si>
  <si>
    <r>
      <rPr>
        <b/>
        <sz val="11"/>
        <rFont val="Arial"/>
        <family val="2"/>
      </rPr>
      <t>Istutettava / kylvettävä kasvillisuus</t>
    </r>
  </si>
  <si>
    <r>
      <rPr>
        <b/>
        <sz val="10"/>
        <color theme="1"/>
        <rFont val="Arial"/>
        <family val="2"/>
      </rPr>
      <t>Isokokoinen (täysikasvuisena &gt; 10 m) pitkäikäinen</t>
    </r>
  </si>
  <si>
    <r>
      <rPr>
        <sz val="10"/>
        <color theme="1"/>
        <rFont val="Arial"/>
        <family val="2"/>
      </rPr>
      <t>Hoitotarve 1-2 kertaa vuodessa. Lannoitus kerran vuodessa, minkä lisäksi leikkaus ja rungon suojaaminen kasvinsyöjiltä mahdollisesti tarpeen.</t>
    </r>
  </si>
  <si>
    <r>
      <rPr>
        <sz val="11"/>
        <color theme="1"/>
        <rFont val="Arial"/>
        <family val="2"/>
      </rPr>
      <t>1 = Hoitotarve yli 3 kertaa vuodessa</t>
    </r>
  </si>
  <si>
    <r>
      <rPr>
        <b/>
        <sz val="10"/>
        <color theme="1"/>
        <rFont val="Arial"/>
        <family val="2"/>
      </rPr>
      <t>Isokokoinen (täysikasvuisena &gt; 10 m) lyhytikäinen</t>
    </r>
  </si>
  <si>
    <r>
      <rPr>
        <sz val="11"/>
        <color theme="1"/>
        <rFont val="Arial"/>
        <family val="2"/>
      </rPr>
      <t>0 = Hoitotarve useammin kuin kerran kuukaudessa</t>
    </r>
  </si>
  <si>
    <r>
      <rPr>
        <b/>
        <sz val="10"/>
        <color theme="1"/>
        <rFont val="Arial"/>
        <family val="2"/>
      </rPr>
      <t>Pienikokoinen (täysikasvuisena ≤ 10 m) pitkäikäinen</t>
    </r>
  </si>
  <si>
    <r>
      <rPr>
        <i/>
        <sz val="11"/>
        <color theme="1"/>
        <rFont val="Arial"/>
        <family val="2"/>
      </rPr>
      <t xml:space="preserve">Huom. Pisteytyksessä ei ole huomioitu kustannuksia (esim. käsityön tarvetta). </t>
    </r>
  </si>
  <si>
    <r>
      <rPr>
        <i/>
        <sz val="11"/>
        <color theme="1"/>
        <rFont val="Arial"/>
        <family val="2"/>
      </rPr>
      <t>Huom. Pisteytystä vähentää puutteellinen kokemus elementin kunnossapidosta Suomessa</t>
    </r>
  </si>
  <si>
    <r>
      <rPr>
        <b/>
        <sz val="10"/>
        <rFont val="Arial"/>
        <family val="2"/>
      </rPr>
      <t>Isot pensaat, à 3 m²; kasvualustan syvyys 0,6 m</t>
    </r>
  </si>
  <si>
    <r>
      <rPr>
        <sz val="10"/>
        <rFont val="Arial"/>
        <family val="2"/>
      </rPr>
      <t>Istutettavalla isokokoisella pensaalla on samat hyödyt kuin istutettavilla puilla, mutta pienemmässä mittakaavassa (kasvin ja kasvualustan koko). Pensailla on erityistä merkitystä elinympäristönä ja suojapaikkana monille pieneläimille.</t>
    </r>
  </si>
  <si>
    <r>
      <rPr>
        <sz val="10"/>
        <rFont val="Arial"/>
        <family val="2"/>
      </rPr>
      <t>Istutettavalla isokokoisella pensaalla on samat hyödyt kuin istutettavilla puilla, mutta pienemmässä mittakaavassa (kasvin koko). Pensailla voi olla merkitystä myös hyötyviljelylle sekä tilanjakajina pihan toiminnoille.</t>
    </r>
  </si>
  <si>
    <r>
      <rPr>
        <sz val="10"/>
        <rFont val="Arial"/>
        <family val="2"/>
      </rPr>
      <t>Isokokoisella istutettavalla pensaalla on samat hyödyt kuin istutettavalla pienellä puulla, mutta pienemmässä mittakaavassa (kasvin koko). Pensaat soveltuvat hyvin tilanjakajiksi pihan eri toimintojen välille.</t>
    </r>
  </si>
  <si>
    <r>
      <rPr>
        <sz val="10"/>
        <rFont val="Arial"/>
        <family val="2"/>
      </rPr>
      <t>Hoitotarve jonkin verran suurempi kuin puilla. Arvioitu hoitotarve (leikkaus ja lannoitus) 2-3 kertaa vuodessa. Lisäksi rungon sekä lehvästön suojaaminen kasvinsyöjiltä mahdollisesti tarpeen.</t>
    </r>
  </si>
  <si>
    <r>
      <rPr>
        <sz val="10"/>
        <rFont val="Arial"/>
        <family val="2"/>
      </rPr>
      <t>Istutettavalla isokokoisella pensaalla on samat hyödyt kuin istutettavilla puilla, mutta pienemmässä mittakaavassa (kasvin ja kasvualustan koko).</t>
    </r>
  </si>
  <si>
    <r>
      <rPr>
        <b/>
        <sz val="11"/>
        <color theme="1"/>
        <rFont val="Arial"/>
        <family val="2"/>
      </rPr>
      <t>Maisema-arvo</t>
    </r>
  </si>
  <si>
    <r>
      <rPr>
        <b/>
        <sz val="10"/>
        <rFont val="Arial"/>
        <family val="2"/>
      </rPr>
      <t>Muut pensaat, à 1,5 m²; kasvualustan syvyys 0,4 m</t>
    </r>
  </si>
  <si>
    <r>
      <rPr>
        <sz val="10"/>
        <rFont val="Arial"/>
        <family val="2"/>
      </rPr>
      <t>Istutettavalla pienemmällä pensaalla on samat hyödyt kuin istutettavalla suurella pensaalla, mutta pienemmässä mittakaavassa (kasvin ja kasvualustan koko). Pensailla on erityistä merkitystä elinympäristönä ja suojapaikkana monille pieneläimille.</t>
    </r>
  </si>
  <si>
    <r>
      <rPr>
        <sz val="10"/>
        <rFont val="Arial"/>
        <family val="2"/>
      </rPr>
      <t>Istutettavalla pienempikokoisella pensaalla on samat hyödyt kuin isolla pensaalla. Pensailla voi olla merkitystä myös hyötyviljelylle.</t>
    </r>
  </si>
  <si>
    <r>
      <rPr>
        <sz val="10"/>
        <rFont val="Arial"/>
        <family val="2"/>
      </rPr>
      <t>Pienemmällä istutettavalla pensaalla on samat hyödyt kuin isommalla. Kasvin koon lisäksi maisema-arvoon vaikuttaa kuitenkin yhtä suuressa määrin lajivalinta, minkä vuoksi hyöty arvioidaan samaksi.</t>
    </r>
  </si>
  <si>
    <r>
      <rPr>
        <sz val="10"/>
        <rFont val="Arial"/>
        <family val="2"/>
      </rPr>
      <t>Sama hoitotarve kuin isommilla pensailla.</t>
    </r>
  </si>
  <si>
    <r>
      <rPr>
        <sz val="10"/>
        <rFont val="Arial"/>
        <family val="2"/>
      </rPr>
      <t>Istutettavalla pienemmällä pensaalla on samat hyödyt kuin istutettavalla suurella pensaalla, mutta pienemmässä mittakaavassa (kasvin ja kasvualustan koko).</t>
    </r>
  </si>
  <si>
    <r>
      <rPr>
        <b/>
        <sz val="11"/>
        <color theme="1"/>
        <rFont val="Arial"/>
        <family val="2"/>
      </rPr>
      <t>Kunnossapito</t>
    </r>
  </si>
  <si>
    <r>
      <rPr>
        <b/>
        <sz val="10"/>
        <rFont val="Arial"/>
        <family val="2"/>
      </rPr>
      <t>Perennat, kasvualustan syvyys 0,4–0,6 m</t>
    </r>
  </si>
  <si>
    <r>
      <rPr>
        <sz val="10"/>
        <rFont val="Arial"/>
        <family val="2"/>
      </rPr>
      <t>Istutettavilla perennoilla on samat hyödyt kuin elementillä "Muut pensaat", mutta niihin liittyy usein suurempi kasvualustan koko. Perennat tarjoavat ravintoa, elinympäristöjä ja suojapaikkoja monille pieneläimille.</t>
    </r>
  </si>
  <si>
    <r>
      <rPr>
        <sz val="10"/>
        <rFont val="Arial"/>
        <family val="2"/>
      </rPr>
      <t>Istutettavilla perennoilla on samat hyödyt kuin pienemmilla istutettavilla pensailla.</t>
    </r>
  </si>
  <si>
    <r>
      <rPr>
        <sz val="10"/>
        <rFont val="Arial"/>
        <family val="2"/>
      </rPr>
      <t>Perennoilla on vastaava maisema-arvo kuin pensailla: vaikka perennat ovat tyypillisesti pienempikokoisia, niillä on usein kestävämmät ja näyttävämmät kukinnot.</t>
    </r>
  </si>
  <si>
    <r>
      <rPr>
        <sz val="10"/>
        <rFont val="Arial"/>
        <family val="2"/>
      </rPr>
      <t>Hyvin suunniteltu kasvillisuus ei vaadi hoitoa useammin kuin kerran kuukaudessa. Hoidon ja kastelun tarve vaihtelee kuitenkin huomattavasti lajin, istutuspaikan ja sateisuuden mukaan. Arvioitu hoitotarve keskimäärin yli 3 kertaa vuodessa. Lannoitus ja mahdollinen suojaaminen kasvinsyöjiltä tarpeen.</t>
    </r>
  </si>
  <si>
    <r>
      <rPr>
        <sz val="10"/>
        <rFont val="Arial"/>
        <family val="2"/>
      </rPr>
      <t>Istutettavilla perennoilla on samat hyödyt kuin elementillä "Muut pensaat", mutta niihin liittyy usein suurempi kasvualustan koko.</t>
    </r>
  </si>
  <si>
    <r>
      <rPr>
        <b/>
        <sz val="11"/>
        <color theme="1"/>
        <rFont val="Arial"/>
        <family val="2"/>
      </rPr>
      <t>Hulevesi</t>
    </r>
  </si>
  <si>
    <r>
      <rPr>
        <b/>
        <sz val="10"/>
        <rFont val="Arial"/>
        <family val="2"/>
      </rPr>
      <t>Niitty tai keto, kasvualustan syvyys 0,15–0,3 m</t>
    </r>
  </si>
  <si>
    <r>
      <rPr>
        <sz val="10"/>
        <rFont val="Arial"/>
        <family val="2"/>
      </rPr>
      <t>Niittyjen tarjoama hyöty pienilmastolle vastaa perennoja. Niitty voi kuitenkin tarjota paremmat mahdollisuudet oppia luonnosta. Niittyä voi käyttää myös oleskeluun tietyin rajoituksin.</t>
    </r>
  </si>
  <si>
    <r>
      <rPr>
        <sz val="10"/>
        <rFont val="Arial"/>
        <family val="2"/>
      </rPr>
      <t>Koettu masema-arvo jakaa mielipiteitä. Kukinta lisää niityn ja kedon maisema-arvoa; "hallittu hoitamattomuus" ei kuitenkaan sovellu kaikkiin maankäyttötyyppeihin.</t>
    </r>
  </si>
  <si>
    <r>
      <rPr>
        <sz val="10"/>
        <rFont val="Arial"/>
        <family val="2"/>
      </rPr>
      <t>Niityn vaatima kasvualusta on ohuempi kuin perennoilla, mistä johtuen sen merkitys hulevesien hallinnalle on pienempi.</t>
    </r>
  </si>
  <si>
    <r>
      <rPr>
        <b/>
        <sz val="11"/>
        <color theme="1"/>
        <rFont val="Arial"/>
        <family val="2"/>
      </rPr>
      <t>Ekologisuus</t>
    </r>
  </si>
  <si>
    <r>
      <rPr>
        <b/>
        <sz val="11"/>
        <color theme="1"/>
        <rFont val="Arial"/>
        <family val="2"/>
      </rPr>
      <t>Toiminnallisuus</t>
    </r>
  </si>
  <si>
    <r>
      <rPr>
        <b/>
        <sz val="11"/>
        <color theme="1"/>
        <rFont val="Arial"/>
        <family val="2"/>
      </rPr>
      <t>Maisema-arvo</t>
    </r>
  </si>
  <si>
    <r>
      <rPr>
        <b/>
        <sz val="11"/>
        <color theme="1"/>
        <rFont val="Arial"/>
        <family val="2"/>
      </rPr>
      <t>Kunnossapito</t>
    </r>
  </si>
  <si>
    <r>
      <rPr>
        <b/>
        <sz val="11"/>
        <color theme="1"/>
        <rFont val="Arial"/>
        <family val="2"/>
      </rPr>
      <t>Hulevesi</t>
    </r>
  </si>
  <si>
    <r>
      <rPr>
        <b/>
        <sz val="11"/>
        <color theme="1"/>
        <rFont val="Arial"/>
        <family val="2"/>
      </rPr>
      <t>Yhteensä</t>
    </r>
  </si>
  <si>
    <r>
      <rPr>
        <sz val="10"/>
        <rFont val="Arial"/>
        <family val="2"/>
      </rPr>
      <t>Viljelypalstat koostuvat usein yksivuotisista lajeista, joten niiden ekologinen merkitys painottuu kasvukaudelle, jolloin suuri merkitys pölyttäjille ja lajien monimuotoisuudelle.  Pienempi merkitys kuin esim. perennoilla, mm. siksi, että kukkivia mesikasveja on suhteessa vähemmän.</t>
    </r>
  </si>
  <si>
    <r>
      <rPr>
        <sz val="10"/>
        <rFont val="Arial"/>
        <family val="2"/>
      </rPr>
      <t>Viljelypalstat ovat erittäin merkittäviä toiminnallisuudelle, sillä ne tarjoavat mahdollisuuden hyötyviljelyyn ja luonnosta oppimiseen.</t>
    </r>
  </si>
  <si>
    <r>
      <rPr>
        <sz val="10"/>
        <rFont val="Arial"/>
        <family val="2"/>
      </rPr>
      <t>Mahdollinen kukinta, marjat ja hedelmät lisäävät maisema-arvoa ja vaihtelua; viljelyn kausiluonteisuus ja mahdollinen hoitamattomuuden aiheuttama epäsiisteys vähentävät sitä (esimerkiksi perennoihin nähden).</t>
    </r>
  </si>
  <si>
    <r>
      <rPr>
        <sz val="10"/>
        <rFont val="Arial"/>
        <family val="2"/>
      </rPr>
      <t>Viljelyyn soveltuvat alueet vaativat usein runsaasti hoitoa, mutta hoidosta vastaavat asukkaat. Taloyhtiölle koituva kunnosspitovastuu pienempi kuin esim. nurmikolla.</t>
    </r>
  </si>
  <si>
    <r>
      <rPr>
        <sz val="10"/>
        <rFont val="Arial"/>
        <family val="2"/>
      </rPr>
      <t>Keskinkertainen merkitys hulevesien hallinnalle.</t>
    </r>
  </si>
  <si>
    <r>
      <rPr>
        <b/>
        <sz val="10"/>
        <rFont val="Arial"/>
        <family val="2"/>
      </rPr>
      <t>Kuntta</t>
    </r>
  </si>
  <si>
    <r>
      <rPr>
        <sz val="10"/>
        <rFont val="Arial"/>
        <family val="2"/>
      </rPr>
      <t>Samat hyödyt kuin säilyvällä luonnonmukaisella pohjakasvillisuudella, mutta toiminnallisuutta vähentää kulumisherkkyys.</t>
    </r>
  </si>
  <si>
    <r>
      <rPr>
        <sz val="10"/>
        <rFont val="Arial"/>
        <family val="2"/>
      </rPr>
      <t>Kuntalla on vastaava maisema-arvo kuin perennoilla ja pensailla. Kuntan erityisarvo on sen merkitys suomalaisessa maisemassa.</t>
    </r>
  </si>
  <si>
    <r>
      <rPr>
        <sz val="10"/>
        <rFont val="Arial"/>
        <family val="2"/>
      </rPr>
      <t>Hoitotarve kuntan siirtämisen jälkeen melko suuri, sillä kuntta tarvitsee paljon kastelua juurtuakseen kasvualustaan. Myöhemmin hoidon tarve vähäinen, enimmäkseen ei-toivottujen siemenrikkakasvien ym. poistamista.</t>
    </r>
  </si>
  <si>
    <r>
      <rPr>
        <sz val="10"/>
        <rFont val="Arial"/>
        <family val="2"/>
      </rPr>
      <t>Kuntan hyödyt ovat samat kuin perennoilla tai istutettavalla pensaalla.</t>
    </r>
  </si>
  <si>
    <r>
      <rPr>
        <b/>
        <sz val="11"/>
        <color theme="1"/>
        <rFont val="Arial"/>
        <family val="2"/>
      </rPr>
      <t>Elementtityyppi</t>
    </r>
  </si>
  <si>
    <r>
      <rPr>
        <b/>
        <sz val="10"/>
        <rFont val="Arial"/>
        <family val="2"/>
      </rPr>
      <t>Nurmikko, kasvualustan syvyys 0,15–0,2 m</t>
    </r>
  </si>
  <si>
    <r>
      <rPr>
        <sz val="10"/>
        <rFont val="Arial"/>
        <family val="2"/>
      </rPr>
      <t>Nurmikolla on merkitystä monimuotoisuudelle, mutta pienemmässä määrin kuin esimerkiksi kuntalla (mm. lajimäärä ja mesikasvien määrä pienempi). Vaatii tyypillisesti säännöllistä hoitoa, kuten kastelua ja koneellista leikkaamista, mikä vähentää sen ekologisuutta.</t>
    </r>
  </si>
  <si>
    <r>
      <rPr>
        <sz val="10"/>
        <rFont val="Arial"/>
        <family val="2"/>
      </rPr>
      <t>Nurmikko tarjoaa hyvät mahdollisuudet leikkimiseen. Nurmikon vaikutus pienilmaston säätelyssä on kuitenkin pieni (koko).</t>
    </r>
  </si>
  <si>
    <r>
      <rPr>
        <sz val="10"/>
        <rFont val="Arial"/>
        <family val="2"/>
      </rPr>
      <t>Hoidettu nurmikko on siisti; hoitamattomana maisema-arvo vähenee merkittävästi. Muuhun matalaan kasvillisuuteen nähden yksipuolinen elementti.</t>
    </r>
  </si>
  <si>
    <r>
      <rPr>
        <sz val="10"/>
        <rFont val="Arial"/>
        <family val="2"/>
      </rPr>
      <t>Hoitotarve useammin kuin kerran kuukaudessa. Nurmikko vaatii tyypillisesti säännöllistä leikkausta ja lannoitusta, sekä kuivina kausina kastelua.</t>
    </r>
  </si>
  <si>
    <r>
      <rPr>
        <sz val="10"/>
        <rFont val="Arial"/>
        <family val="2"/>
      </rPr>
      <t>Nurmikolla on merkitystä hulevesien hallinnalle, mutta pienemmässä määrin kuin esimerkiksi perennoilla (kasvin ja kasvualustan koko)</t>
    </r>
  </si>
  <si>
    <r>
      <rPr>
        <b/>
        <sz val="11"/>
        <color theme="1"/>
        <rFont val="Arial"/>
        <family val="2"/>
      </rPr>
      <t>Säilytettävä kasvillisuus</t>
    </r>
  </si>
  <si>
    <r>
      <rPr>
        <b/>
        <sz val="10"/>
        <rFont val="Arial"/>
        <family val="2"/>
      </rPr>
      <t>Monivuotiset köynnökset, kasvualustan syvyys 0,6 m, vertikaalinen pinta-ala (à 2 m²)</t>
    </r>
  </si>
  <si>
    <r>
      <rPr>
        <sz val="10"/>
        <color theme="1"/>
        <rFont val="Arial"/>
        <family val="2"/>
      </rPr>
      <t>Monivuotiset köynnökset ovat verrattavissa ekologisuuden osalta suuriin pensaisiin.</t>
    </r>
  </si>
  <si>
    <r>
      <rPr>
        <sz val="10"/>
        <rFont val="Arial"/>
        <family val="2"/>
      </rPr>
      <t>Köynnökset tarjoavat samankaltaisen hyödyn pienilmastolle ja rakennusten energiankulutukselle kuin viherkatot.</t>
    </r>
  </si>
  <si>
    <r>
      <rPr>
        <sz val="10"/>
        <rFont val="Arial"/>
        <family val="2"/>
      </rPr>
      <t>Hoitotarve arvioitu vastaamaan pensaita. Tietyt köynnökset voivat rakennuksia vasten kasvaessaan vaurioittaa julkisivuja ja lisätä kunnostustarvetta.</t>
    </r>
  </si>
  <si>
    <r>
      <rPr>
        <sz val="10"/>
        <rFont val="Arial"/>
        <family val="2"/>
      </rPr>
      <t>Vertikaalisen pinta-alan lisääntyminen ei ole suoraan verrannollinen hulevesien hallinnasta saataviin hyötyihin, joten painotus on pienempi kuin isolla pensaalla.</t>
    </r>
  </si>
  <si>
    <r>
      <rPr>
        <b/>
        <sz val="11"/>
        <color theme="1"/>
        <rFont val="Arial"/>
        <family val="2"/>
      </rPr>
      <t>Istutettava kasvillisuus</t>
    </r>
  </si>
  <si>
    <r>
      <rPr>
        <b/>
        <sz val="11"/>
        <rFont val="Arial"/>
        <family val="2"/>
      </rPr>
      <t>Viherkatot ja julkisivukasvillisuus</t>
    </r>
  </si>
  <si>
    <r>
      <rPr>
        <b/>
        <sz val="10"/>
        <rFont val="Arial"/>
        <family val="2"/>
      </rPr>
      <t>Viherseinä tai muu julkisivuun integroitu kasvillisuus</t>
    </r>
  </si>
  <si>
    <r>
      <rPr>
        <sz val="10"/>
        <rFont val="Arial"/>
        <family val="2"/>
      </rPr>
      <t>Viherseinän ekologinen arvo riippuu toteutustavasta ja sijainnista. Vaatii lisäselvitystä.</t>
    </r>
  </si>
  <si>
    <r>
      <rPr>
        <sz val="10"/>
        <rFont val="Arial"/>
        <family val="2"/>
      </rPr>
      <t>Sama arvioitu hyöty kuin köynnöksillä.</t>
    </r>
  </si>
  <si>
    <r>
      <rPr>
        <sz val="10"/>
        <rFont val="Arial"/>
        <family val="2"/>
      </rPr>
      <t>Hyvin suunnitellulla viherseinällä on sama arvioitu hyöty kuin köynnöksillä.</t>
    </r>
  </si>
  <si>
    <r>
      <rPr>
        <sz val="10"/>
        <rFont val="Arial"/>
        <family val="2"/>
      </rPr>
      <t>Viherseinien toimivuudesta ei ole riittävästi kokemusta Suomessa kunnossapitotarpeen arvioimiseksi. Toimintojen säilyttämiseksi hoitotoimenpiteiden tarve voi kuitenkin olla merkittävä. Vaatii lisäselvityksiä. Lähtökohdaksi vertailuun otettu paljon hoitoa vaativa nurmikko.</t>
    </r>
  </si>
  <si>
    <r>
      <rPr>
        <sz val="10"/>
        <rFont val="Arial"/>
        <family val="2"/>
      </rPr>
      <t>Viherseinällä, joka ei ole kytkeytynut kasvualustaan, on pienempi merkitys hulevesien hallinnalle kuin köynnöksillä. Vaatii lisäselvitystä.</t>
    </r>
  </si>
  <si>
    <r>
      <rPr>
        <b/>
        <sz val="11"/>
        <color theme="1"/>
        <rFont val="Arial"/>
        <family val="2"/>
      </rPr>
      <t>Viherkatot ja julkisivukasvillisuus</t>
    </r>
  </si>
  <si>
    <r>
      <rPr>
        <sz val="10"/>
        <rFont val="Arial"/>
        <family val="2"/>
      </rPr>
      <t>Viherkatot vähentävät rakennusten enengiankulutusta ja tämän myötä kasvihuonekaasupäästöjä. Viherkatot tarjoavat elinympäristöjä ja ravintoa muun muassa erilaisille hyönteislajeille sekä niitä ravintonaan käyttäville linnuille.</t>
    </r>
  </si>
  <si>
    <r>
      <rPr>
        <sz val="10"/>
        <rFont val="Arial"/>
        <family val="2"/>
      </rPr>
      <t>Viherkatot ovat toiminnallisuuden osalta verrattavissa nurmikon kaltaiseen matalaan kasvillisuuteen. Viherkatot tarjoavat esimerkiksi mahdollisuuden hyötyviljelyyn ja vähentävät ilman epäpuhtauksia.</t>
    </r>
  </si>
  <si>
    <r>
      <rPr>
        <sz val="10"/>
        <rFont val="Arial"/>
        <family val="2"/>
      </rPr>
      <t>Viherkatot ovat merkittäviä maisemalle, sillä ne lisäävät vehreyttä siellä, missä normaalisti olisi läpäisemätöntä pintaa. Lisäksi viherkatot näkyvät usein pidemmälle kuin esimerkiksi matalat perennat. Monilajiset ja esimerkiksi maksaruoho(Sedum)-peitteellä varustetut viherkatot ovat myös monivärisiä ja luovat vuodenaikaisvaihtelua. Mitä paksumpi kasvualusta viherkatolla on, sitä suurempi valikoima istutettavassa kasvillisuudessa on. Arvioitu perennoja vastaava maisema-arvo.</t>
    </r>
  </si>
  <si>
    <r>
      <rPr>
        <sz val="10"/>
        <rFont val="Arial"/>
        <family val="2"/>
      </rPr>
      <t>Hoitotarve yli 3 kertaa vuodessa. Vaatii vedenpoistojärjestelmien ja kasvillisuuden hoitoa sekä roskien, puuntaimien ja lumen poistoa (10). Viherkaton lisääminen jälkikäteen rakennukseen vaatii usein kantavuuden lisäämistä rakenteellisilla muutoksilla.</t>
    </r>
  </si>
  <si>
    <r>
      <rPr>
        <sz val="10"/>
        <rFont val="Arial"/>
        <family val="2"/>
      </rPr>
      <t>Viherkatot ovat hulevesien hallinnan osalta verrattavissa nurmikon kaltaiseen matalaan kasvillisuuteen. Viherkatto yli 0,3 m syvällä kasvualustalla on kuitenkin merkittävämpi hulevesien hallinnalle kuin nurmikko (0,05-0,2 m kasvualusta). Soveltuu hyvin hulevesien määrän hallintaan (10).</t>
    </r>
  </si>
  <si>
    <r>
      <rPr>
        <b/>
        <sz val="11"/>
        <color theme="1"/>
        <rFont val="Arial"/>
        <family val="2"/>
      </rPr>
      <t>Pinnoitteet</t>
    </r>
  </si>
  <si>
    <r>
      <rPr>
        <sz val="10"/>
        <color theme="1"/>
        <rFont val="Arial"/>
        <family val="2"/>
      </rPr>
      <t xml:space="preserve">Ekologisuus vertailukelpoisempi kattopuutarhan kuin maksaruohokaton kanssa, sillä 10-29 cm paksuiselle viherkatolle voi istuttaa  jo hyvinkin monimuotoista kasvillisuutta. </t>
    </r>
  </si>
  <si>
    <r>
      <rPr>
        <sz val="10"/>
        <rFont val="Arial"/>
        <family val="2"/>
      </rPr>
      <t xml:space="preserve">Toiminnallisuus sama kuin paksummalla viherkatolla, mutta pienemmässä mittakaavassa, sillä ohuemmalle kasvualustalle ei ole mahdollista istuttaa yhtä monipuolista kasvillisuutta. </t>
    </r>
  </si>
  <si>
    <r>
      <rPr>
        <sz val="10"/>
        <rFont val="Arial"/>
        <family val="2"/>
      </rPr>
      <t xml:space="preserve">Maisema-arvo sama kuin paksummalla viherkatolla, mutta pienemmässä mittakaavassa, sillä ohuemmalle kasvualustalle ei ole mahdollista istuttaa yhtä monipuolista kasvillisuutta. </t>
    </r>
  </si>
  <si>
    <r>
      <rPr>
        <sz val="10"/>
        <rFont val="Arial"/>
        <family val="2"/>
      </rPr>
      <t>Hoitotarve sama kuin paksummalla viherkatolla.</t>
    </r>
  </si>
  <si>
    <r>
      <rPr>
        <sz val="10"/>
        <rFont val="Arial"/>
        <family val="2"/>
      </rPr>
      <t xml:space="preserve">Hulevesien hallinnan potentiaali sama kuin paksummalla viherkatolla, mutta pienemmässä mittakaavassa ohuemman kasvualustan vuoksi. </t>
    </r>
  </si>
  <si>
    <r>
      <rPr>
        <b/>
        <sz val="11"/>
        <color theme="1"/>
        <rFont val="Arial"/>
        <family val="2"/>
      </rPr>
      <t>Hulevesien hallintarakenteet</t>
    </r>
  </si>
  <si>
    <r>
      <rPr>
        <b/>
        <sz val="10"/>
        <rFont val="Arial"/>
        <family val="2"/>
      </rPr>
      <t>Viherkatto: Maksaruoho- tai sammalkatto, kasvualustan paksuus 4–9 cm</t>
    </r>
  </si>
  <si>
    <r>
      <rPr>
        <sz val="10"/>
        <rFont val="Arial"/>
        <family val="2"/>
      </rPr>
      <t>Ekologisuus sama kuin paksummalla viherkatolla, mutta pienemmässä mittakaavassa.</t>
    </r>
  </si>
  <si>
    <r>
      <rPr>
        <sz val="10"/>
        <rFont val="Arial"/>
        <family val="2"/>
      </rPr>
      <t xml:space="preserve">Toiminnallisuus sama kuin paksummalla viherkatolla, mutta pienemmässä mittakaavassa. Ei kuitenkaan siinä määrin havaittavaa eroa, että vaikuttaisi painotukseen. </t>
    </r>
  </si>
  <si>
    <r>
      <rPr>
        <sz val="10"/>
        <rFont val="Arial"/>
        <family val="2"/>
      </rPr>
      <t>Maisema-arvo sama kuin paksummalla viherkatolla, mutta pienemmässä mittakaavassa. Ei kuitenkaan siinä määrin havaittavaa eroa, että vaikuttaisi painotukseen.</t>
    </r>
  </si>
  <si>
    <r>
      <rPr>
        <sz val="10"/>
        <rFont val="Arial"/>
        <family val="2"/>
      </rPr>
      <t>Hoitotarve sama kuin paksummalla viherkatolla.</t>
    </r>
  </si>
  <si>
    <r>
      <rPr>
        <sz val="10"/>
        <rFont val="Arial"/>
        <family val="2"/>
      </rPr>
      <t xml:space="preserve">Hulevesien hallinnan potentiaali sama kuin paksummalla viherkatolla, mutta pienemmässä mittakaavassa ohuemman kasvualustan vuoksi. </t>
    </r>
  </si>
  <si>
    <r>
      <rPr>
        <b/>
        <sz val="11"/>
        <color theme="1"/>
        <rFont val="Arial"/>
        <family val="2"/>
      </rPr>
      <t>Bonuselementit</t>
    </r>
  </si>
  <si>
    <r>
      <rPr>
        <b/>
        <sz val="11"/>
        <rFont val="Arial"/>
        <family val="2"/>
      </rPr>
      <t>Pinnoitteet</t>
    </r>
  </si>
  <si>
    <r>
      <rPr>
        <b/>
        <sz val="10"/>
        <rFont val="Arial"/>
        <family val="2"/>
      </rPr>
      <t>Läpäisevät pinnoitteet (esim. sora- ja hiekkapinnat)</t>
    </r>
  </si>
  <si>
    <r>
      <rPr>
        <sz val="10"/>
        <rFont val="Arial"/>
        <family val="2"/>
      </rPr>
      <t>Ei juurikaan merkitystä monimuotoisuudelle tai hiilensidonnalle. Läpäisevän pinnoitteen päälle syntyvällä pienimuotoisella kasvillisuudella on kuitenkin läpäisemätöntä pintaa enemmän vaikutusta monimuotoisuuteen ja hiilensidontaan.</t>
    </r>
  </si>
  <si>
    <r>
      <rPr>
        <sz val="10"/>
        <rFont val="Arial"/>
        <family val="2"/>
      </rPr>
      <t>Sama toiminnallisuus kuin nurmikolla, mutta pienilmaston säätelyvaikutus on pienempi.</t>
    </r>
  </si>
  <si>
    <r>
      <rPr>
        <sz val="10"/>
        <rFont val="Arial"/>
        <family val="2"/>
      </rPr>
      <t>Läpäisevä hiekka- ja sorapinta on selkeä eikä vaadi paljoa hoitoa näyttääkseen siistiltä. Viherrakenteen kannalta kuitenkin epäedullinen elementti, sillä vähentää tontin vehreyttä.</t>
    </r>
  </si>
  <si>
    <r>
      <rPr>
        <sz val="10"/>
        <rFont val="Arial"/>
        <family val="2"/>
      </rPr>
      <t xml:space="preserve">Hoitotarve harvemmin kuin kerran vuodessa. </t>
    </r>
  </si>
  <si>
    <r>
      <rPr>
        <sz val="10"/>
        <rFont val="Arial"/>
        <family val="2"/>
      </rPr>
      <t>Parempi hulevesien läpäisevyys kuin nurmikivellä, muttä yleensä vähemmän kuin säilytettävillä luonnonmukaisilla pohjilla.</t>
    </r>
  </si>
  <si>
    <r>
      <rPr>
        <sz val="10"/>
        <rFont val="Arial"/>
        <family val="2"/>
      </rPr>
      <t>Ei juurikaan merkitystä monimuotoisuudelle tai hiilensidonnalle. Nurmikiviin tai kivituhkan päälle syntyvällä pienimuotoisella kasvillisuudella on kuitenkin läpäisemätöntä pintaa enemmän vaikutusta monimuotoisuuteen ja hiilensidontaan.</t>
    </r>
  </si>
  <si>
    <r>
      <rPr>
        <sz val="10"/>
        <rFont val="Arial"/>
        <family val="2"/>
      </rPr>
      <t>Sama toiminnallisuus kuin nurmikolla, mutta pienilmaston säätelyvaikutus on pienempi.</t>
    </r>
  </si>
  <si>
    <r>
      <rPr>
        <sz val="10"/>
        <rFont val="Arial"/>
        <family val="2"/>
      </rPr>
      <t>Puoliläpäisevä nurmikivi-pinnoite on siisti - maisema-arvoltaan verrattavissa nurmikkoon.</t>
    </r>
  </si>
  <si>
    <r>
      <rPr>
        <sz val="10"/>
        <rFont val="Arial"/>
        <family val="2"/>
      </rPr>
      <t>Hoitotarve yli 3 kertaa vuodessa. Puoliläpäisevien pinnoitteiden talvikunnossapito haasteellista (10). Suuri kiintoaineen tai roskien määrä heikentää pinnoitteen läpäisevyyttä.</t>
    </r>
  </si>
  <si>
    <r>
      <rPr>
        <sz val="10"/>
        <rFont val="Arial"/>
        <family val="2"/>
      </rPr>
      <t>Puoliläpäisevä pinta, jossa kuitenkin haihduttavaa ja hiiltä sitovaa kasvillisuutta, soveltuu kohtalaisesti hulevesien hallintaan (10).</t>
    </r>
  </si>
  <si>
    <r>
      <rPr>
        <b/>
        <sz val="11"/>
        <color theme="1"/>
        <rFont val="Arial"/>
        <family val="2"/>
      </rPr>
      <t>Elementtityyppi</t>
    </r>
  </si>
  <si>
    <r>
      <rPr>
        <b/>
        <sz val="11"/>
        <color theme="1"/>
        <rFont val="Arial"/>
        <family val="2"/>
      </rPr>
      <t>Ekologisuus</t>
    </r>
  </si>
  <si>
    <r>
      <rPr>
        <b/>
        <sz val="11"/>
        <color theme="1"/>
        <rFont val="Arial"/>
        <family val="2"/>
      </rPr>
      <t>Toiminnallisuus</t>
    </r>
  </si>
  <si>
    <r>
      <rPr>
        <b/>
        <sz val="11"/>
        <color theme="1"/>
        <rFont val="Arial"/>
        <family val="2"/>
      </rPr>
      <t>Maisema-arvo</t>
    </r>
  </si>
  <si>
    <r>
      <rPr>
        <b/>
        <sz val="11"/>
        <color theme="1"/>
        <rFont val="Arial"/>
        <family val="2"/>
      </rPr>
      <t>Kunnossapito</t>
    </r>
  </si>
  <si>
    <r>
      <rPr>
        <b/>
        <sz val="11"/>
        <color theme="1"/>
        <rFont val="Arial"/>
        <family val="2"/>
      </rPr>
      <t>Hulevesi</t>
    </r>
  </si>
  <si>
    <r>
      <rPr>
        <b/>
        <sz val="11"/>
        <color theme="1"/>
        <rFont val="Arial"/>
        <family val="2"/>
      </rPr>
      <t>Yhteensä</t>
    </r>
  </si>
  <si>
    <r>
      <rPr>
        <b/>
        <sz val="11"/>
        <rFont val="Arial"/>
        <family val="2"/>
      </rPr>
      <t>Hulevesien hallintarakenteet</t>
    </r>
  </si>
  <si>
    <r>
      <rPr>
        <b/>
        <sz val="10"/>
        <color theme="1"/>
        <rFont val="Arial"/>
        <family val="2"/>
      </rPr>
      <t>Sadepuutarha tai vastaava imeytys- tai suodatuspainanne jossa monipuolista kerroksellista kasvillisuutta</t>
    </r>
  </si>
  <si>
    <r>
      <rPr>
        <sz val="10"/>
        <rFont val="Arial"/>
        <family val="2"/>
      </rPr>
      <t>Lajiston monimuotoisuuden kannalta erittäin merkittävä. Runsaan kasvillisuuden ansiosta myös merkitystä hiilensidonnalle. Ekologisuutta lisää mahdollisuus hyödyntää hulevedet puutarhanhoidossa. Huom. Vieraslajeja ja muita aggressiivisesti leviäviä lajeja ei tule käyttää.</t>
    </r>
  </si>
  <si>
    <r>
      <rPr>
        <sz val="10"/>
        <rFont val="Arial"/>
        <family val="2"/>
      </rPr>
      <t>Runsaan kasvillisuuden ansiosta merkitys pienilmaston säätelylle ja luonnosta oppimiselle. Toiminnallisuutta lisää osaltaan mahdollisuus puutarhanhoitoon.</t>
    </r>
  </si>
  <si>
    <r>
      <rPr>
        <sz val="10"/>
        <rFont val="Arial"/>
        <family val="2"/>
      </rPr>
      <t>Hyvin suunniteltuna sadepuutarha voi toimia edustavana maisemaelementtinä, jonka maisema-arvoa ajoittainen kuivuminen ei heikennä. Lajit tulee valita tästä lähtökohdasta.</t>
    </r>
  </si>
  <si>
    <r>
      <rPr>
        <sz val="10"/>
        <rFont val="Arial"/>
        <family val="2"/>
      </rPr>
      <t>Hyvin suunniteltu sadepuutarha ei kärsi ajoitteisesta kuivumisesta. Kasvillisuuden ja muiden pintojen hoitotarpeeksi arvioitu 1-2 kertaa vuodessa (hoitotarve vaatii kuitenkin lisäselvitystä) (10)</t>
    </r>
  </si>
  <si>
    <r>
      <rPr>
        <b/>
        <sz val="11"/>
        <color theme="1"/>
        <rFont val="Arial"/>
        <family val="2"/>
      </rPr>
      <t>Säilytettävä kasvillisuus</t>
    </r>
  </si>
  <si>
    <r>
      <rPr>
        <b/>
        <sz val="10"/>
        <color theme="1"/>
        <rFont val="Arial"/>
        <family val="2"/>
      </rPr>
      <t>Imeytys- tai viivytyspainanne jossa matalaa kasvillisuutta (esim. nurmikko tai niitty)</t>
    </r>
  </si>
  <si>
    <r>
      <rPr>
        <sz val="10"/>
        <color theme="1"/>
        <rFont val="Arial"/>
        <family val="2"/>
      </rPr>
      <t>Pienempi merkitys monimuotoisuudelle ja hiilensidonnalle kuin sadepuutarhalla.</t>
    </r>
  </si>
  <si>
    <r>
      <rPr>
        <sz val="10"/>
        <color theme="1"/>
        <rFont val="Arial"/>
        <family val="2"/>
      </rPr>
      <t>Pienempi merkitys pienilmaston tasaamisessa kuin sadepuutarhalla. Maastonmuotoilu, kivet ja kasvillisuus tarjoavat mahdollisuuksia leikkiin, liikkumiseen ja luonnon tarkkailuun.</t>
    </r>
  </si>
  <si>
    <r>
      <rPr>
        <sz val="10"/>
        <color theme="1"/>
        <rFont val="Arial"/>
        <family val="2"/>
      </rPr>
      <t>Maisema-arvo riippuu painanteen toteutustavasta. Tyypillisesti sora- ja nurmipeitteellä varustettu painanne verrattavissa kyseisien elementtien maisema-arvoon.</t>
    </r>
  </si>
  <si>
    <r>
      <rPr>
        <sz val="10"/>
        <color theme="1"/>
        <rFont val="Arial"/>
        <family val="2"/>
      </rPr>
      <t>Hoitotarve riippuu toteutustavasta. Nurmipinta verrattavissa nurmikkoon (0,5), kiviainespintaa hoidettava harvemmin. Keskimääräinen hoitotarve (1-2 kertaa vuodessa/ kerran kuukaudessa) = 1. Vaatii roskien ja kiintoaineksen poistoa, suodattavan kerroksen läpäisevyyden ylläpitoa, kaivon lietepesän tyhjennystä (kerran vuodessa) (10)</t>
    </r>
  </si>
  <si>
    <r>
      <rPr>
        <b/>
        <sz val="11"/>
        <color theme="1"/>
        <rFont val="Arial"/>
        <family val="2"/>
      </rPr>
      <t>Istutettava kasvillisuus</t>
    </r>
  </si>
  <si>
    <r>
      <rPr>
        <b/>
        <sz val="10"/>
        <color theme="1"/>
        <rFont val="Arial"/>
        <family val="2"/>
      </rPr>
      <t>Imeytys- tai viivytyspainanne tai kaivanto kiviainespinnalla</t>
    </r>
  </si>
  <si>
    <r>
      <rPr>
        <sz val="10"/>
        <rFont val="Arial"/>
        <family val="2"/>
      </rPr>
      <t>Ei suoraa merkitystä monimuotoisuudelle ja hiilensidonnalle. Rakenteen kautta tontin maaperään imeytyvä sadevesi vähentää vesijohtovesikastelun tarvetta ja parantaa tontin kasvillisuuden hyvinvointia ja sitä kautta mm. hiilensidontaa.</t>
    </r>
  </si>
  <si>
    <r>
      <rPr>
        <sz val="10"/>
        <rFont val="Arial"/>
        <family val="2"/>
      </rPr>
      <t>Ei merkitystä pienilmaston tasaamiselle. Toiminnallisuutta lisää mahdollisuus muiden toimintojen sijoittamiseen painanteen/kaivannon päälle.</t>
    </r>
  </si>
  <si>
    <r>
      <rPr>
        <sz val="10"/>
        <rFont val="Arial"/>
        <family val="2"/>
      </rPr>
      <t>Maisema-arvo riippuu painanteen toteutustavasta. Tyypillisesti sora- ja nurmipeitteellä varustettu painanne verrattavissa kyseisien elementtien maisema-arvoon.</t>
    </r>
  </si>
  <si>
    <r>
      <rPr>
        <b/>
        <sz val="11"/>
        <color theme="1"/>
        <rFont val="Arial"/>
        <family val="2"/>
      </rPr>
      <t>Viherkatot ja julkisivukasvillisuus</t>
    </r>
  </si>
  <si>
    <r>
      <rPr>
        <b/>
        <sz val="10"/>
        <color theme="1"/>
        <rFont val="Arial"/>
        <family val="2"/>
      </rPr>
      <t>Lampi, kosteikko tai tulvaniitty luonnonmukaisella kasvillisuudella (ainakin osan vuodesta pysyvä vesipinta; muun ajan maa pysyy kosteana)</t>
    </r>
  </si>
  <si>
    <r>
      <rPr>
        <sz val="10"/>
        <rFont val="Arial"/>
        <family val="2"/>
      </rPr>
      <t>Luonnonmukainen kasvillisuus tärkeää monimuotoisuudelle, elinympäristöille ja ekologiselle verkostolle. Runsaan kasvillisuuden ansiosta myös merkitystä hiilensidonnalle. Huom. Vieraslajeja ja muita aggressiivisesti leviäviä ei tule käyttää.</t>
    </r>
  </si>
  <si>
    <r>
      <rPr>
        <sz val="10"/>
        <rFont val="Arial"/>
        <family val="2"/>
      </rPr>
      <t>Runsaan kasvillisuuden ansiosta merkitys pienilmaston säätelylle sekä luonnosta oppimiselle.</t>
    </r>
  </si>
  <si>
    <r>
      <rPr>
        <sz val="10"/>
        <rFont val="Arial"/>
        <family val="2"/>
      </rPr>
      <t>Koettu masema-arvo jakaa mielipiteitä. Soveltuu  väljään yhdyskuntarakenteeseen, jossa suositaan luonnonmukaisempaa kasvillisuutta.</t>
    </r>
  </si>
  <si>
    <r>
      <rPr>
        <sz val="10"/>
        <rFont val="Arial"/>
        <family val="2"/>
      </rPr>
      <t>Kosteikkokasvillisuus vaatii jonkin verran hoitoa monipuolisen kasvivalikoiman säilyttämiseksi, umpeenkasvun estämiseksi ja toimivuuden takaamiseksi. Esim. Tasausaltaan ja purku-uomien tai -putkien puhdistamisesta  huolehdittava. Arvioitu tarve kasvillisuuden hoitoon ja rakenteiden toimivuuden varmistamiseen 1-2 kertaa vuodessa; ruoppaus 10-15 vuoden välein. (10)</t>
    </r>
  </si>
  <si>
    <r>
      <rPr>
        <sz val="10"/>
        <rFont val="Arial"/>
        <family val="2"/>
      </rPr>
      <t>Imeytyspainanne soveltuu hyvin hulevesien määrän ja laadun hallintaan (10).</t>
    </r>
  </si>
  <si>
    <r>
      <rPr>
        <b/>
        <sz val="11"/>
        <color theme="1"/>
        <rFont val="Arial"/>
        <family val="2"/>
      </rPr>
      <t>Pinnoitteet</t>
    </r>
  </si>
  <si>
    <r>
      <rPr>
        <sz val="10"/>
        <color theme="1"/>
        <rFont val="Arial"/>
        <family val="2"/>
      </rPr>
      <t>Samaa merkitystä hiilensidonnalle ja luonnon monimuotoisuudelle kuin viivytys- tai pidätysaltaalla.</t>
    </r>
  </si>
  <si>
    <r>
      <rPr>
        <sz val="10"/>
        <rFont val="Arial"/>
        <family val="2"/>
      </rPr>
      <t>Sama merkitys pienilmaston säätelylle ja luonnosta oppimiselle kuin saadepuutarhalla.</t>
    </r>
  </si>
  <si>
    <r>
      <rPr>
        <sz val="10"/>
        <color theme="1"/>
        <rFont val="Arial"/>
        <family val="2"/>
      </rPr>
      <t>Maisema-arvo riippuu painanteen toteutustavasta. Tyypillisesti vertailukelpoinen viivytys- tai imeytyspainanteen kanssa.</t>
    </r>
  </si>
  <si>
    <r>
      <rPr>
        <sz val="10"/>
        <color theme="1"/>
        <rFont val="Arial"/>
        <family val="2"/>
      </rPr>
      <t>Hoitotarve verrattavissa imeytyskaivantoon. Sis: esim. salaojajärjestelmän huuhtominen ja kiintoaineksen poisto imumenetelmällä (10)</t>
    </r>
  </si>
  <si>
    <r>
      <rPr>
        <sz val="10"/>
        <rFont val="Arial"/>
        <family val="2"/>
      </rPr>
      <t>Samat toiminnot kuin sadepuutarhalla, kosteikolla tai imeytyspainanteella.</t>
    </r>
  </si>
  <si>
    <r>
      <rPr>
        <b/>
        <sz val="11"/>
        <color theme="1"/>
        <rFont val="Arial"/>
        <family val="2"/>
      </rPr>
      <t>Hulevesien hallintarakenteet</t>
    </r>
  </si>
  <si>
    <r>
      <rPr>
        <b/>
        <sz val="10"/>
        <color theme="1"/>
        <rFont val="Arial"/>
        <family val="2"/>
      </rPr>
      <t>Sadeveden kerääminen ja varastoiminen kastelutarkoitukseen (à 10 m² kasteltava alue, huom. yksikkö on tilavuus!)</t>
    </r>
  </si>
  <si>
    <r>
      <rPr>
        <sz val="10"/>
        <rFont val="Arial"/>
        <family val="2"/>
      </rPr>
      <t>Ei merkitystä monimuotoisuudelle ja hiilensidonnalle. Toisaalta vapauttaa tilaa kasvillisuudelle tai muulle maankäytölle maan pinnalla. Sadeveden keräämisellä on kuitenkin suuri ekologinen arvo, koska se vähentää vesijohtoveden käyttöä erityisesti tilanteissa, missä siitä saattaa olla pulaa muutenkin (kuivuusjaksot). Merkitys monimuotoisuudelle ja hiilensidonnalle, kun istutukset pysyvät kuivinakin kausina elinvoimaisina ja hiilensidontakykyisinä.</t>
    </r>
  </si>
  <si>
    <r>
      <rPr>
        <sz val="10"/>
        <rFont val="Arial"/>
        <family val="2"/>
      </rPr>
      <t>Kastelu mahdollistaa osallisuutta ja yhteisöllisyyttä pihan muihin toimintoihin, kuten puutarhanhoitoon yleisesti.</t>
    </r>
  </si>
  <si>
    <r>
      <rPr>
        <sz val="10"/>
        <rFont val="Arial"/>
        <family val="2"/>
      </rPr>
      <t>Ei merkitystä maisemalle.</t>
    </r>
  </si>
  <si>
    <r>
      <rPr>
        <sz val="10"/>
        <rFont val="Arial"/>
        <family val="2"/>
      </rPr>
      <t>Hoitotarve verrattavissa imeytyskaivantoon. Sis: esim. salaojajärjestelmän huuhtominen ja kiintoaineksen poisto imumenetelmällä (10).</t>
    </r>
  </si>
  <si>
    <r>
      <rPr>
        <sz val="10"/>
        <rFont val="Arial"/>
        <family val="2"/>
      </rPr>
      <t>Samat toiminnot kuin viivytyspainanteella.</t>
    </r>
  </si>
  <si>
    <r>
      <rPr>
        <b/>
        <sz val="11"/>
        <color theme="1"/>
        <rFont val="Arial"/>
        <family val="2"/>
      </rPr>
      <t>Bonuselementit</t>
    </r>
  </si>
  <si>
    <r>
      <rPr>
        <b/>
        <sz val="10"/>
        <color theme="1"/>
        <rFont val="Arial"/>
        <family val="2"/>
      </rPr>
      <t>Viivytyskaivanto tai -säiliö (maanalainen, huom. yksikkö on tilavuus!)</t>
    </r>
  </si>
  <si>
    <r>
      <rPr>
        <sz val="10"/>
        <rFont val="Arial"/>
        <family val="2"/>
      </rPr>
      <t>Ei merkitystä monimuotoisuudelle ja hiilensidonnalle. Toisaalta vapauttaa tilaa kasvillisuudelle tai muulle maankäytölle maan pinnalla.</t>
    </r>
  </si>
  <si>
    <r>
      <rPr>
        <sz val="10"/>
        <rFont val="Arial"/>
        <family val="2"/>
      </rPr>
      <t>Ei merkitystä pienilmaston tasaamiselle. Toiminnallisuutta lisää mahdollisuus muiden toimintojen sijoittamiseen kaivannon päälle.</t>
    </r>
  </si>
  <si>
    <r>
      <rPr>
        <sz val="10"/>
        <rFont val="Arial"/>
        <family val="2"/>
      </rPr>
      <t>Ei merkitystä maisemalle</t>
    </r>
  </si>
  <si>
    <r>
      <rPr>
        <sz val="10"/>
        <rFont val="Arial"/>
        <family val="2"/>
      </rPr>
      <t>Hoitotarve verrattavissa imeytyskaivantoon. Sis: esim. salaojajärjestelmän huuhtominen ja kiintoaineksen poisto imumenetelmällä (10)</t>
    </r>
  </si>
  <si>
    <r>
      <rPr>
        <sz val="10"/>
        <rFont val="Arial"/>
        <family val="2"/>
      </rPr>
      <t>Samat toiminnot kuin viivytyspainanteella.  Huleveden jatko-ohjauksesta riippuen pienempi merkitys hulevesien laadullisessa hallinnassa.</t>
    </r>
  </si>
  <si>
    <r>
      <rPr>
        <b/>
        <sz val="10"/>
        <rFont val="Arial"/>
        <family val="2"/>
      </rPr>
      <t>Hulevesien kerääminen kattopinnoilta kasteluvedeksi tai ohjaaminen hallitusti maanvaraiselle kasvillisuudelle</t>
    </r>
  </si>
  <si>
    <r>
      <rPr>
        <sz val="10"/>
        <rFont val="Arial"/>
        <family val="2"/>
      </rPr>
      <t>Ekologisuutta lisää myös vesijohtoveden vähentäminen kastelussa ja kasvillisuuden hyvinvoinnin parantaminen.</t>
    </r>
  </si>
  <si>
    <r>
      <rPr>
        <sz val="10"/>
        <rFont val="Arial"/>
        <family val="2"/>
      </rPr>
      <t>Toiminnallisuutta lisää mahdollisuus hyödyntää hulevesiä kasvillisuuden hoidossa.</t>
    </r>
  </si>
  <si>
    <r>
      <rPr>
        <sz val="10"/>
        <rFont val="Arial"/>
        <family val="2"/>
      </rPr>
      <t>Ei merkitystä maisemalle</t>
    </r>
  </si>
  <si>
    <r>
      <rPr>
        <sz val="10"/>
        <rFont val="Arial"/>
        <family val="2"/>
      </rPr>
      <t>Kunnossapitotarve riippuu rakenteesta. Vaatii todennäköisesti roskien poistoa ja vettä johtavien putkien puhdistamista 1-2 kertaa vuodessa tai useammin. (10)</t>
    </r>
  </si>
  <si>
    <r>
      <rPr>
        <sz val="10"/>
        <rFont val="Arial"/>
        <family val="2"/>
      </rPr>
      <t>Merkitystä hulevesien hallinnalle, mutta riippuu paljon ohjaamisreitin toteuttamisesta ja kunnossapidosta.</t>
    </r>
  </si>
  <si>
    <r>
      <rPr>
        <b/>
        <sz val="10"/>
        <rFont val="Arial"/>
        <family val="2"/>
      </rPr>
      <t>Hulevesien ohjaaminen läpäisemättömiltä pinnoilta rakennettuihin vesielementteihin, kuten lampiin ja puroihin, joissa vesi vaihtuu/kiertää/virtaa</t>
    </r>
  </si>
  <si>
    <r>
      <rPr>
        <sz val="10"/>
        <rFont val="Arial"/>
        <family val="2"/>
      </rPr>
      <t>Merkitystä erityisesti monimuotoisuudelle, mutta myös hiilensidonnalle.</t>
    </r>
  </si>
  <si>
    <r>
      <rPr>
        <sz val="10"/>
        <rFont val="Arial"/>
        <family val="2"/>
      </rPr>
      <t>Mahdollisuus vesileikkeihin ja luonnosta oppimiseen. Toiminnallisuutta vähentävät turvallisuusnäkökohdat ja usein vesiaiheisiin liittyvät hyönteiset kuten hyttyset.</t>
    </r>
  </si>
  <si>
    <r>
      <rPr>
        <sz val="10"/>
        <rFont val="Arial"/>
        <family val="2"/>
      </rPr>
      <t>Vesiaiheilla on huomattava merkitys maisemalle</t>
    </r>
  </si>
  <si>
    <r>
      <rPr>
        <sz val="10"/>
        <rFont val="Arial"/>
        <family val="2"/>
      </rPr>
      <t>Arvioitu kunnossapitotarve 1-2 kertaa vuodessa tai useammin; riippuu rakennettavan vesiaiheen tyypistä. Usein vaatii roskien poistoa ja vesiaiheeseen johtavien putkien puhdistamista. (10)</t>
    </r>
  </si>
  <si>
    <r>
      <rPr>
        <sz val="10"/>
        <rFont val="Arial"/>
        <family val="2"/>
      </rPr>
      <t>Merkitystä hulevesien hallinnalle, mutta riippuu paljon ohjaamisreitin ja liitetyn vesiaiheen toteuttamisesta ja kunnossapidosta.</t>
    </r>
  </si>
  <si>
    <r>
      <rPr>
        <b/>
        <sz val="10"/>
        <rFont val="Arial"/>
        <family val="2"/>
      </rPr>
      <t xml:space="preserve">Varjostava isokokoinen puu (à 25 m²) rakennuksen etelä- ja lounaispuolella (erityisesti lehtipuut) </t>
    </r>
  </si>
  <si>
    <r>
      <rPr>
        <sz val="10"/>
        <rFont val="Arial"/>
        <family val="2"/>
      </rPr>
      <t>Merkitys hiilensidonnalle ja monimuotoisuudelle.</t>
    </r>
  </si>
  <si>
    <r>
      <rPr>
        <sz val="10"/>
        <rFont val="Arial"/>
        <family val="2"/>
      </rPr>
      <t>Mahdollistaa miellyttävämmän oleskelun sisä- ja ulkotiloissa hellejaksoilla. Helposti ikkunoista näkyvä lehtipuiden ruska lisää viihtyisyyttä.</t>
    </r>
  </si>
  <si>
    <r>
      <rPr>
        <sz val="10"/>
        <rFont val="Arial"/>
        <family val="2"/>
      </rPr>
      <t>Puilla on merkittävä arvo maisemassa.</t>
    </r>
  </si>
  <si>
    <r>
      <rPr>
        <sz val="10"/>
        <rFont val="Arial"/>
        <family val="2"/>
      </rPr>
      <t>Ei merkittävää kunnossapitotarvetta.</t>
    </r>
  </si>
  <si>
    <r>
      <rPr>
        <sz val="10"/>
        <rFont val="Arial"/>
        <family val="2"/>
      </rPr>
      <t>Isokokoisella istutettavalla puulla on samakaltaiset hyödyt kuin vastaavalla säilytettävällä puulla, mutta hyödyt realisoituvat usein vasta vuosien päästä.</t>
    </r>
  </si>
  <si>
    <r>
      <rPr>
        <b/>
        <sz val="10"/>
        <rFont val="Arial"/>
        <family val="2"/>
      </rPr>
      <t xml:space="preserve">Varjostava pienikokoinen puu (à 15 m²) rakennuksen etelä- ja lounaispuolella (erityisesti lehtipuut) </t>
    </r>
  </si>
  <si>
    <r>
      <rPr>
        <sz val="10"/>
        <rFont val="Arial"/>
        <family val="2"/>
      </rPr>
      <t>Merkitys hiilensidonnalle ja monimuotoisuudelle.</t>
    </r>
  </si>
  <si>
    <r>
      <rPr>
        <sz val="10"/>
        <rFont val="Arial"/>
        <family val="2"/>
      </rPr>
      <t>Mahdollistaa miellyttävämmän oleskelun sisä- ja ulkotiloissa hellejaksoilla. Helposti ikkunoista näkyvä lehtipuiden ruska lisää viihtyisyyttä.</t>
    </r>
  </si>
  <si>
    <r>
      <rPr>
        <sz val="10"/>
        <rFont val="Arial"/>
        <family val="2"/>
      </rPr>
      <t>Puilla on merkittävä arvo maisemassa.</t>
    </r>
  </si>
  <si>
    <r>
      <rPr>
        <sz val="10"/>
        <rFont val="Arial"/>
        <family val="2"/>
      </rPr>
      <t>Ei merkittävää kunnossapitotarvetta.</t>
    </r>
  </si>
  <si>
    <r>
      <rPr>
        <sz val="10"/>
        <rFont val="Arial"/>
        <family val="2"/>
      </rPr>
      <t>Pienikokoisella istutettavalla puulla on samankaltaiset hyödyt kuin istutettavalla isolla puulla, mutta pienemmässä mittakaavassa (kasvin ja kasvualustan koko).</t>
    </r>
  </si>
  <si>
    <r>
      <rPr>
        <b/>
        <sz val="10"/>
        <rFont val="Arial"/>
        <family val="2"/>
      </rPr>
      <t>Hyödynnettävää tai syötävää satoa tuottavat istutukset: hedelmäpuut (à 10 m²), marjapensaat (à 10 m²)</t>
    </r>
  </si>
  <si>
    <r>
      <rPr>
        <sz val="10"/>
        <rFont val="Arial"/>
        <family val="2"/>
      </rPr>
      <t>Monivuotiset hedelmäpuut ja marjapensaat ovat tärkeitä monimuotoisuudelle (pölyttäminen, ravintokasvina toimiminen), hiilensidonnalle ja hulevesien hallinnalle.</t>
    </r>
  </si>
  <si>
    <r>
      <rPr>
        <sz val="10"/>
        <rFont val="Arial"/>
        <family val="2"/>
      </rPr>
      <t>Merkitystä virkistyskäytölle (esim. hyötyviljelylle) ja luonnosta oppimiselle.</t>
    </r>
  </si>
  <si>
    <r>
      <rPr>
        <sz val="10"/>
        <rFont val="Arial"/>
        <family val="2"/>
      </rPr>
      <t xml:space="preserve">Usein kasvukauden alussa kukkivat ja myöhemmin hedelmiä tuottavat puut ovat hyvin arvokkaita maisemalle. Marjoja tuottavat pensaat ovat hyvin arvokkaita maisemalle. </t>
    </r>
  </si>
  <si>
    <r>
      <rPr>
        <sz val="10"/>
        <rFont val="Arial"/>
        <family val="2"/>
      </rPr>
      <t>Hedelmäpuut ja marjapensaat vaativat  hoitoa vähintään 2 kertaa vuodessa (lannoitus, leikkaus) minkä lisäksi ne on usein suojattava kasvinsyöjiltä.</t>
    </r>
  </si>
  <si>
    <r>
      <rPr>
        <sz val="10"/>
        <rFont val="Arial"/>
        <family val="2"/>
      </rPr>
      <t>Istutettavalla pienemmällä pensaalla on samankaltiaset hyödyt kuin istutettavalla suurella pensaalla, mutta pienemmässä mittakaavassa (kasvin ja kasvualustan koko).</t>
    </r>
  </si>
  <si>
    <r>
      <rPr>
        <b/>
        <sz val="10"/>
        <rFont val="Arial"/>
        <family val="2"/>
      </rPr>
      <t>Leikkimiseen tai urheiluun osoitettu läpäisevä pinta (esim. hiekka- tai sorapintaiset leikkipaikat, urheilukenttänurmi)</t>
    </r>
  </si>
  <si>
    <r>
      <rPr>
        <sz val="10"/>
        <rFont val="Arial"/>
        <family val="2"/>
      </rPr>
      <t xml:space="preserve">Vettä läpäisevä pinta mahdollistaa läpäisemätöntä pintaa paremmin mm. maaperäeliöstön hyvinvoinnin. Urheilukenttänurmella ja hiekka- tai sorapinnalle kehittyvällä pienimuotoisella kasvillisuudella on merkitystä monimuotoisuudelle ja hiilensidonnalle. </t>
    </r>
  </si>
  <si>
    <r>
      <rPr>
        <sz val="10"/>
        <rFont val="Arial"/>
        <family val="2"/>
      </rPr>
      <t>Monikäyttöiset pinnat lisäävät toiminnallisuutta.</t>
    </r>
  </si>
  <si>
    <r>
      <rPr>
        <sz val="10"/>
        <rFont val="Arial"/>
        <family val="2"/>
      </rPr>
      <t>Ei merkittävää maisema-arvoa</t>
    </r>
  </si>
  <si>
    <r>
      <rPr>
        <sz val="10"/>
        <rFont val="Arial"/>
        <family val="2"/>
      </rPr>
      <t>Viherpinnan kuluminen ja monikäyttöisyyden luomat vaatimukset lisäävät kunnossapidon tarvetta.</t>
    </r>
  </si>
  <si>
    <r>
      <rPr>
        <sz val="10"/>
        <rFont val="Arial"/>
        <family val="2"/>
      </rPr>
      <t>Läpäisevä pinta on avuksi hulevesien hallinnassa.</t>
    </r>
  </si>
  <si>
    <r>
      <rPr>
        <b/>
        <sz val="10"/>
        <rFont val="Arial"/>
        <family val="2"/>
      </rPr>
      <t>Kasvualustoissa on käytetty biohiiltä vähintään 5 tilavuus-%</t>
    </r>
  </si>
  <si>
    <r>
      <rPr>
        <sz val="10"/>
        <rFont val="Arial"/>
        <family val="2"/>
      </rPr>
      <t>Merkitystä virkistyskäytölle (esim. hyötyviljelylle) ja luonnosta oppimiselle.</t>
    </r>
  </si>
  <si>
    <r>
      <rPr>
        <sz val="10"/>
        <rFont val="Arial"/>
        <family val="2"/>
      </rPr>
      <t>Ei merkittävää maisema-arvoa</t>
    </r>
  </si>
  <si>
    <r>
      <rPr>
        <sz val="10"/>
        <rFont val="Arial"/>
        <family val="2"/>
      </rPr>
      <t>Biohiili maaperässä voi vähentää jonkin verran lannoitus- ja kastelutarvetta.</t>
    </r>
  </si>
  <si>
    <r>
      <rPr>
        <b/>
        <sz val="10"/>
        <rFont val="Arial"/>
        <family val="2"/>
      </rPr>
      <t>Tontille perustettavien niittyjen ja muiden luonnonmukaisten kasvillisuusalueiden perustamisessa on hyödynnetty tontilta saatavia pintamaita/maa-aineksia</t>
    </r>
  </si>
  <si>
    <r>
      <rPr>
        <sz val="10"/>
        <rFont val="Arial"/>
        <family val="2"/>
      </rPr>
      <t xml:space="preserve">Tontilla kierrätettyjen materiaalien käyttö säilyttää maaperän hiilivaraston, vähentää päästöjä ja säilyttää alkuperäistä maaperän monimuotoisuutta. </t>
    </r>
  </si>
  <si>
    <r>
      <rPr>
        <sz val="10"/>
        <color theme="1"/>
        <rFont val="Arial"/>
        <family val="2"/>
      </rPr>
      <t xml:space="preserve">Ei merkitystä toiminnallisuuden kannalta. </t>
    </r>
  </si>
  <si>
    <r>
      <rPr>
        <sz val="10"/>
        <rFont val="Arial"/>
        <family val="2"/>
      </rPr>
      <t>Ei merkittävää maisema-arvoa</t>
    </r>
  </si>
  <si>
    <r>
      <rPr>
        <sz val="10"/>
        <rFont val="Arial"/>
        <family val="2"/>
      </rPr>
      <t>Merkitys riippuu kasvualustan paksuudesta ja alkuperäisen maa-aineksen raekoosta. Niukkaravinteisista kierrätyskasvualustoista syntyy vähemmän ravinnevalumia.</t>
    </r>
  </si>
  <si>
    <r>
      <rPr>
        <b/>
        <sz val="11"/>
        <color theme="1"/>
        <rFont val="Arial"/>
        <family val="2"/>
      </rPr>
      <t>Lähteet (numeroituna elementtien selityksissä):</t>
    </r>
  </si>
  <si>
    <r>
      <rPr>
        <sz val="10"/>
        <color theme="1"/>
        <rFont val="Arial"/>
        <family val="2"/>
      </rPr>
      <t>Aylor, Donald. "Noise reduction by vegetation and ground." The Journal of the Acoustical Society of America 51 (1972): 197.</t>
    </r>
  </si>
  <si>
    <r>
      <rPr>
        <sz val="10"/>
        <color theme="1"/>
        <rFont val="Arial"/>
        <family val="2"/>
      </rPr>
      <t>Ferris, R., and J. W. Humphrey. "A review of potential biodiversity indicators for application in British forests." Forestry 72.4 (1999): 313-328.</t>
    </r>
  </si>
  <si>
    <r>
      <rPr>
        <sz val="10"/>
        <color theme="1"/>
        <rFont val="Arial"/>
        <family val="2"/>
      </rPr>
      <t>Meriluoto, Markku, and Timo Soininen. Metsäluonnon arvokkaat elinympäristöt. Metsälehti kustannus, 1998.</t>
    </r>
  </si>
  <si>
    <r>
      <rPr>
        <sz val="10"/>
        <color theme="1"/>
        <rFont val="Arial"/>
        <family val="2"/>
      </rPr>
      <t>Peuhu, E. and Siitonen, J. 2011. "Ontot puistopuut ovat merkittävä elinympäristö monimuotoiselle lahopuueliöstölle." (2011).</t>
    </r>
  </si>
  <si>
    <r>
      <rPr>
        <sz val="10"/>
        <color theme="1"/>
        <rFont val="Arial"/>
        <family val="2"/>
      </rPr>
      <t>Siitonen, Juha, et al. "Coarse woody debris and stand characteristics in mature managed and old-growth boreal mesic forests in southern Finland." Forest Ecology and Management 128.3 (2000): 211-225.</t>
    </r>
  </si>
  <si>
    <r>
      <rPr>
        <sz val="10"/>
        <color theme="1"/>
        <rFont val="Arial"/>
        <family val="2"/>
      </rPr>
      <t>Vanha-Majamaa, Ilkka, and Jyrki Jalonen. "Green tree retention in Fennoscandian forestry." Scandinavian Journal of Forest Research 16.S3 (2001): 79-90.</t>
    </r>
  </si>
  <si>
    <r>
      <rPr>
        <sz val="10"/>
        <color theme="1"/>
        <rFont val="Arial"/>
        <family val="2"/>
      </rPr>
      <t>Palmberg, Irmeli E., and Jari Kuru. "Outdoor activities as a basis for environmental responsibility." The Journal of Environmental Education 31.4 (2000): 32-36.</t>
    </r>
  </si>
  <si>
    <r>
      <rPr>
        <sz val="10"/>
        <color theme="1"/>
        <rFont val="Arial"/>
        <family val="2"/>
      </rPr>
      <t>Kuntaliiton hulevesiopas, 2012: http://www.kunnat.net/fi/asiantuntijapalvelut/yty/hulevesien_hallinta/Sivut/default.aspx</t>
    </r>
  </si>
  <si>
    <r>
      <rPr>
        <sz val="10"/>
        <color theme="1"/>
        <rFont val="Arial"/>
        <family val="2"/>
      </rPr>
      <t>Augusto, Laurent, Jacques Ranger, Dan Binkley, and Andreas Rothe. "Impact of several common tree species of European temperate forests on soil fertility." Annals of Forest Science 59, no. 3 (2002): 233-253.</t>
    </r>
  </si>
  <si>
    <r>
      <rPr>
        <sz val="10"/>
        <color theme="1"/>
        <rFont val="Arial"/>
        <family val="2"/>
      </rPr>
      <t>Bond, W. J. "Keystone species." Biodiversity and ecosystem function. Springer Berlin Heidelberg, 1993. 237-253.</t>
    </r>
  </si>
  <si>
    <r>
      <rPr>
        <sz val="10"/>
        <color theme="1"/>
        <rFont val="Arial"/>
        <family val="2"/>
      </rPr>
      <t>Burgess, Stephen SO, et al. "The redistribution of soil water by tree root systems." Oecologia 115.3 (1998): 306-311.</t>
    </r>
  </si>
  <si>
    <r>
      <rPr>
        <sz val="10"/>
        <color theme="1"/>
        <rFont val="Arial"/>
        <family val="2"/>
      </rPr>
      <t>http://www.metsavastaa.net/ilmansaasteet</t>
    </r>
  </si>
  <si>
    <r>
      <rPr>
        <sz val="10"/>
        <color theme="1"/>
        <rFont val="Arial"/>
        <family val="2"/>
      </rPr>
      <t xml:space="preserve">Nieminen, M. ja Sundell, P.R. 2002. Kyläjoen eritasoliittymän perhosniittyjen uhanalaisten perhoslajien elinmahdollisuuksien selvitys ja seuranta 
</t>
    </r>
  </si>
  <si>
    <r>
      <rPr>
        <sz val="10"/>
        <rFont val="Arial"/>
        <family val="2"/>
      </rPr>
      <t>Nieminen, M. ja Kaitila, J-P. "Saaristomeren kansallispuiston niittyjen ja hakojen perhoset." Metsähallituksen luonnonsuojelujulkaisuja, Sarja A: 111. (2000)</t>
    </r>
  </si>
  <si>
    <r>
      <rPr>
        <sz val="10"/>
        <color theme="1"/>
        <rFont val="Arial"/>
        <family val="2"/>
      </rPr>
      <t>Hagelberg, E., A. Karhunen, A. Kulmala, ja R. Larsson. "Käytännön kosteikkosuunnittelu [Wetland planning in practise]." Publications of the Teho Project 1 (2009): 2009.</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</si>
</sst>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0.0\ %"/>
  </numFmts>
  <fonts count="91">
    <font>
      <sz val="11"/>
      <color theme="1"/>
      <name val="Calibri"/>
      <family val="2"/>
      <scheme val="minor"/>
    </font>
    <font>
      <sz val="10"/>
      <color theme="1"/>
      <name val="Arial"/>
      <family val="2"/>
    </font>
    <font>
      <sz val="12"/>
      <color theme="1"/>
      <name val="Calibri"/>
      <family val="2"/>
      <scheme val="minor"/>
    </font>
    <font>
      <sz val="10"/>
      <color theme="1"/>
      <name val="Calibri"/>
      <family val="2"/>
      <scheme val="minor"/>
    </font>
    <font>
      <b/>
      <sz val="16"/>
      <color theme="1"/>
      <name val="Calibri"/>
      <family val="2"/>
      <scheme val="minor"/>
    </font>
    <font>
      <u/>
      <sz val="11"/>
      <color theme="10"/>
      <name val="Calibri"/>
      <family val="2"/>
    </font>
    <font>
      <sz val="11"/>
      <color rgb="FF000000"/>
      <name val="Calibri"/>
      <family val="2"/>
    </font>
    <font>
      <sz val="10"/>
      <color theme="10"/>
      <name val="Calibri"/>
      <family val="2"/>
    </font>
    <font>
      <sz val="9"/>
      <color rgb="FF000000"/>
      <name val="Tahoma"/>
      <family val="2"/>
    </font>
    <font>
      <i/>
      <sz val="12"/>
      <color rgb="FF7F7F7F"/>
      <name val="Calibri"/>
      <family val="2"/>
      <scheme val="minor"/>
    </font>
    <font>
      <sz val="10"/>
      <color rgb="FF000000"/>
      <name val="Tahoma"/>
      <family val="2"/>
    </font>
    <font>
      <sz val="10"/>
      <color rgb="FF000000"/>
      <name val="Calibri"/>
      <family val="2"/>
    </font>
    <font>
      <sz val="11"/>
      <color theme="1"/>
      <name val="Calibri"/>
      <family val="2"/>
      <scheme val="minor"/>
    </font>
    <font>
      <sz val="8"/>
      <name val="Calibri"/>
      <family val="2"/>
      <scheme val="minor"/>
    </font>
    <font>
      <sz val="11"/>
      <color theme="1"/>
      <name val="Arial"/>
      <family val="2"/>
    </font>
    <font>
      <b/>
      <sz val="12"/>
      <color theme="1"/>
      <name val="Arial"/>
      <family val="2"/>
    </font>
    <font>
      <b/>
      <sz val="11"/>
      <color theme="1"/>
      <name val="Arial"/>
      <family val="2"/>
    </font>
    <font>
      <sz val="11"/>
      <color theme="1"/>
      <name val="Arial Bold"/>
    </font>
    <font>
      <sz val="16"/>
      <color theme="1"/>
      <name val="Arial Bold"/>
    </font>
    <font>
      <b/>
      <sz val="10"/>
      <color theme="1"/>
      <name val="Arial"/>
      <family val="2"/>
    </font>
    <font>
      <sz val="10"/>
      <color theme="1"/>
      <name val="Arial"/>
      <family val="2"/>
    </font>
    <font>
      <sz val="11"/>
      <name val="Arial"/>
      <family val="2"/>
    </font>
    <font>
      <b/>
      <sz val="11"/>
      <name val="Arial"/>
      <family val="2"/>
    </font>
    <font>
      <b/>
      <sz val="12"/>
      <name val="Arial"/>
      <family val="2"/>
    </font>
    <font>
      <sz val="12"/>
      <name val="Arial"/>
      <family val="2"/>
    </font>
    <font>
      <sz val="11"/>
      <color rgb="FFFF0000"/>
      <name val="Arial"/>
      <family val="2"/>
    </font>
    <font>
      <sz val="11"/>
      <color theme="9" tint="-0.249977111117893"/>
      <name val="Arial"/>
      <family val="2"/>
    </font>
    <font>
      <b/>
      <sz val="14"/>
      <color theme="0"/>
      <name val="Arial"/>
      <family val="2"/>
    </font>
    <font>
      <sz val="10"/>
      <name val="Arial"/>
      <family val="2"/>
    </font>
    <font>
      <b/>
      <sz val="14"/>
      <color theme="1"/>
      <name val="Arial"/>
      <family val="2"/>
    </font>
    <font>
      <i/>
      <sz val="11"/>
      <name val="Arial"/>
      <family val="2"/>
    </font>
    <font>
      <sz val="12"/>
      <color theme="1"/>
      <name val="Arial"/>
      <family val="2"/>
    </font>
    <font>
      <b/>
      <sz val="10"/>
      <name val="Arial"/>
      <family val="2"/>
    </font>
    <font>
      <i/>
      <sz val="10"/>
      <name val="Arial"/>
      <family val="2"/>
    </font>
    <font>
      <sz val="11"/>
      <color theme="0"/>
      <name val="Arial"/>
      <family val="2"/>
    </font>
    <font>
      <sz val="10"/>
      <color rgb="FFFF0000"/>
      <name val="Arial"/>
      <family val="2"/>
    </font>
    <font>
      <b/>
      <sz val="14"/>
      <name val="Arial"/>
      <family val="2"/>
    </font>
    <font>
      <b/>
      <sz val="10"/>
      <color theme="0"/>
      <name val="Arial"/>
      <family val="2"/>
    </font>
    <font>
      <b/>
      <sz val="11"/>
      <color theme="0"/>
      <name val="Arial"/>
      <family val="2"/>
    </font>
    <font>
      <sz val="10"/>
      <color theme="0"/>
      <name val="Arial"/>
      <family val="2"/>
    </font>
    <font>
      <vertAlign val="superscript"/>
      <sz val="12"/>
      <name val="Arial"/>
      <family val="2"/>
    </font>
    <font>
      <b/>
      <sz val="16"/>
      <color theme="0"/>
      <name val="Arial"/>
      <family val="2"/>
    </font>
    <font>
      <b/>
      <sz val="14"/>
      <color rgb="FFFF0000"/>
      <name val="Arial"/>
      <family val="2"/>
    </font>
    <font>
      <i/>
      <sz val="12"/>
      <color theme="0" tint="-0.499984740745262"/>
      <name val="Arial"/>
      <family val="2"/>
    </font>
    <font>
      <sz val="12"/>
      <color rgb="FFFF0000"/>
      <name val="Arial"/>
      <family val="2"/>
    </font>
    <font>
      <i/>
      <sz val="10"/>
      <color rgb="FF7F7F7F"/>
      <name val="Arial"/>
      <family val="2"/>
    </font>
    <font>
      <i/>
      <sz val="12"/>
      <color rgb="FF7F7F7F"/>
      <name val="Arial"/>
      <family val="2"/>
    </font>
    <font>
      <sz val="12"/>
      <color rgb="FF7F7F7F"/>
      <name val="Arial"/>
      <family val="2"/>
    </font>
    <font>
      <u/>
      <sz val="9"/>
      <color theme="10"/>
      <name val="Arial"/>
      <family val="2"/>
    </font>
    <font>
      <b/>
      <sz val="26"/>
      <color theme="1"/>
      <name val="Arial"/>
      <family val="2"/>
    </font>
    <font>
      <b/>
      <sz val="11"/>
      <color theme="9" tint="-0.249977111117893"/>
      <name val="Arial"/>
      <family val="2"/>
    </font>
    <font>
      <i/>
      <sz val="11"/>
      <color theme="1"/>
      <name val="Arial"/>
      <family val="2"/>
    </font>
    <font>
      <sz val="14"/>
      <color theme="0"/>
      <name val="Arial"/>
      <family val="2"/>
    </font>
    <font>
      <sz val="14"/>
      <color theme="1"/>
      <name val="Arial"/>
      <family val="2"/>
    </font>
    <font>
      <b/>
      <i/>
      <sz val="11"/>
      <name val="Arial"/>
      <family val="2"/>
    </font>
    <font>
      <i/>
      <u/>
      <sz val="10"/>
      <name val="Arial"/>
      <family val="2"/>
    </font>
    <font>
      <u/>
      <sz val="10"/>
      <name val="Arial"/>
      <family val="2"/>
    </font>
    <font>
      <b/>
      <sz val="10"/>
      <color theme="4" tint="-0.249977111117893"/>
      <name val="Arial"/>
      <family val="2"/>
    </font>
    <font>
      <strike/>
      <sz val="11"/>
      <color theme="0"/>
      <name val="Arial"/>
      <family val="2"/>
    </font>
    <font>
      <b/>
      <strike/>
      <sz val="10"/>
      <color theme="0"/>
      <name val="Arial"/>
      <family val="2"/>
    </font>
    <font>
      <strike/>
      <sz val="10"/>
      <color theme="1"/>
      <name val="Arial"/>
      <family val="2"/>
    </font>
    <font>
      <strike/>
      <sz val="11"/>
      <color theme="1"/>
      <name val="Arial"/>
      <family val="2"/>
    </font>
    <font>
      <sz val="10"/>
      <color rgb="FF222222"/>
      <name val="Arial"/>
      <family val="2"/>
    </font>
    <font>
      <b/>
      <sz val="11"/>
      <color rgb="FFFF0000"/>
      <name val="Arial"/>
      <family val="2"/>
    </font>
    <font>
      <sz val="14"/>
      <color rgb="FFFF0000"/>
      <name val="Arial"/>
      <family val="2"/>
    </font>
    <font>
      <sz val="9"/>
      <color rgb="FFFF0000"/>
      <name val="Arial"/>
      <family val="2"/>
    </font>
    <font>
      <i/>
      <sz val="11"/>
      <color rgb="FFFF0000"/>
      <name val="Arial"/>
      <family val="2"/>
    </font>
    <font>
      <strike/>
      <sz val="10"/>
      <color rgb="FFFF0000"/>
      <name val="Arial"/>
      <family val="2"/>
    </font>
    <font>
      <strike/>
      <sz val="11"/>
      <color rgb="FFFF0000"/>
      <name val="Arial"/>
      <family val="2"/>
    </font>
    <font>
      <strike/>
      <sz val="9"/>
      <color rgb="FFFF0000"/>
      <name val="Arial"/>
      <family val="2"/>
    </font>
    <font>
      <i/>
      <sz val="10"/>
      <color rgb="FF222222"/>
      <name val="Arial"/>
      <family val="2"/>
    </font>
    <font>
      <b/>
      <u/>
      <sz val="11"/>
      <name val="Arial"/>
      <family val="2"/>
    </font>
    <font>
      <sz val="16"/>
      <name val="Arial Bold"/>
    </font>
    <font>
      <b/>
      <sz val="24"/>
      <color theme="1"/>
      <name val="Arial"/>
      <family val="2"/>
    </font>
    <font>
      <sz val="12"/>
      <color theme="1"/>
      <name val="Arial Bold"/>
    </font>
    <font>
      <b/>
      <sz val="16"/>
      <name val="Arial"/>
      <family val="2"/>
    </font>
    <font>
      <vertAlign val="superscript"/>
      <sz val="10"/>
      <color theme="1"/>
      <name val="Arial"/>
      <family val="2"/>
    </font>
    <font>
      <b/>
      <vertAlign val="superscript"/>
      <sz val="10"/>
      <color theme="1"/>
      <name val="Arial"/>
      <family val="2"/>
    </font>
    <font>
      <sz val="11"/>
      <color theme="1"/>
      <name val="Calibri"/>
      <family val="2"/>
    </font>
    <font>
      <b/>
      <sz val="16"/>
      <color theme="1"/>
      <name val="Arial"/>
      <family val="2"/>
    </font>
    <font>
      <b/>
      <vertAlign val="superscript"/>
      <sz val="16"/>
      <color theme="1"/>
      <name val="Arial"/>
      <family val="2"/>
    </font>
    <font>
      <b/>
      <i/>
      <sz val="11"/>
      <color theme="1"/>
      <name val="Arial"/>
      <family val="2"/>
    </font>
    <font>
      <i/>
      <sz val="12"/>
      <name val="Arial"/>
      <family val="2"/>
    </font>
    <font>
      <b/>
      <sz val="12"/>
      <color rgb="FFD88C78"/>
      <name val="Arial"/>
      <family val="2"/>
    </font>
    <font>
      <b/>
      <sz val="12"/>
      <color rgb="FFFF0000"/>
      <name val="Arial"/>
      <family val="2"/>
    </font>
    <font>
      <b/>
      <sz val="12"/>
      <color theme="0"/>
      <name val="Arial"/>
      <family val="2"/>
    </font>
    <font>
      <b/>
      <i/>
      <sz val="12"/>
      <name val="Arial"/>
      <family val="2"/>
    </font>
    <font>
      <b/>
      <sz val="11"/>
      <color theme="4" tint="-0.249977111117893"/>
      <name val="Arial"/>
      <family val="2"/>
    </font>
    <font>
      <sz val="11"/>
      <name val="Calibri"/>
      <family val="2"/>
    </font>
    <font>
      <i/>
      <sz val="12"/>
      <color theme="1"/>
      <name val="Arial"/>
      <family val="2"/>
    </font>
    <font>
      <sz val="10"/>
      <color theme="4" tint="-0.249977111117893"/>
      <name val="Arial"/>
      <family val="2"/>
    </font>
  </fonts>
  <fills count="25">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rgb="FFFFFF00"/>
        <bgColor indexed="64"/>
      </patternFill>
    </fill>
    <fill>
      <patternFill patternType="solid">
        <fgColor theme="0"/>
        <bgColor rgb="FF000000"/>
      </patternFill>
    </fill>
    <fill>
      <patternFill patternType="solid">
        <fgColor rgb="FFFFFFFF"/>
        <bgColor rgb="FF000000"/>
      </patternFill>
    </fill>
    <fill>
      <patternFill patternType="solid">
        <fgColor rgb="FFCED6E7"/>
        <bgColor indexed="64"/>
      </patternFill>
    </fill>
    <fill>
      <patternFill patternType="solid">
        <fgColor rgb="FFEFF1F5"/>
        <bgColor indexed="64"/>
      </patternFill>
    </fill>
    <fill>
      <patternFill patternType="solid">
        <fgColor rgb="FFC2E4D2"/>
        <bgColor indexed="64"/>
      </patternFill>
    </fill>
    <fill>
      <patternFill patternType="solid">
        <fgColor rgb="FFE0F1E8"/>
        <bgColor indexed="64"/>
      </patternFill>
    </fill>
    <fill>
      <patternFill patternType="solid">
        <fgColor rgb="FFFFE69D"/>
        <bgColor indexed="64"/>
      </patternFill>
    </fill>
    <fill>
      <patternFill patternType="solid">
        <fgColor rgb="FFAFD2E3"/>
        <bgColor indexed="64"/>
      </patternFill>
    </fill>
    <fill>
      <patternFill patternType="solid">
        <fgColor rgb="FFE2EDF3"/>
        <bgColor indexed="64"/>
      </patternFill>
    </fill>
    <fill>
      <patternFill patternType="solid">
        <fgColor rgb="FFA6D9C4"/>
        <bgColor indexed="64"/>
      </patternFill>
    </fill>
    <fill>
      <patternFill patternType="solid">
        <fgColor rgb="FFDEF0E9"/>
        <bgColor indexed="64"/>
      </patternFill>
    </fill>
    <fill>
      <patternFill patternType="solid">
        <fgColor rgb="FFCCD4EC"/>
        <bgColor indexed="64"/>
      </patternFill>
    </fill>
    <fill>
      <patternFill patternType="solid">
        <fgColor rgb="FF7EBBD6"/>
        <bgColor indexed="64"/>
      </patternFill>
    </fill>
    <fill>
      <patternFill patternType="solid">
        <fgColor rgb="FFD88C78"/>
        <bgColor indexed="64"/>
      </patternFill>
    </fill>
    <fill>
      <patternFill patternType="solid">
        <fgColor rgb="FFEFD2C7"/>
        <bgColor indexed="64"/>
      </patternFill>
    </fill>
    <fill>
      <patternFill patternType="solid">
        <fgColor rgb="FFEFD2C7"/>
        <bgColor rgb="FF000000"/>
      </patternFill>
    </fill>
    <fill>
      <patternFill patternType="solid">
        <fgColor rgb="FF7B96CD"/>
        <bgColor indexed="64"/>
      </patternFill>
    </fill>
    <fill>
      <patternFill patternType="solid">
        <fgColor rgb="FFFFFFFF"/>
        <bgColor indexed="64"/>
      </patternFill>
    </fill>
    <fill>
      <patternFill patternType="solid">
        <fgColor rgb="FFFFF4DB"/>
        <bgColor indexed="64"/>
      </patternFill>
    </fill>
    <fill>
      <patternFill patternType="solid">
        <fgColor rgb="FF69C4A3"/>
        <bgColor indexed="64"/>
      </patternFill>
    </fill>
  </fills>
  <borders count="182">
    <border>
      <left/>
      <right/>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medium">
        <color indexed="64"/>
      </right>
      <top style="medium">
        <color indexed="64"/>
      </top>
      <bottom/>
      <diagonal/>
    </border>
    <border>
      <left style="medium">
        <color indexed="64"/>
      </left>
      <right/>
      <top style="medium">
        <color indexed="64"/>
      </top>
      <bottom/>
      <diagonal/>
    </border>
    <border>
      <left style="medium">
        <color indexed="64"/>
      </left>
      <right/>
      <top/>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thin">
        <color indexed="64"/>
      </top>
      <bottom style="medium">
        <color indexed="64"/>
      </bottom>
      <diagonal/>
    </border>
    <border>
      <left/>
      <right style="medium">
        <color indexed="64"/>
      </right>
      <top/>
      <bottom style="medium">
        <color indexed="64"/>
      </bottom>
      <diagonal/>
    </border>
    <border>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diagonal/>
    </border>
    <border>
      <left/>
      <right style="medium">
        <color indexed="64"/>
      </right>
      <top/>
      <bottom/>
      <diagonal/>
    </border>
    <border>
      <left/>
      <right/>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diagonal/>
    </border>
    <border>
      <left style="thin">
        <color indexed="64"/>
      </left>
      <right style="thin">
        <color indexed="64"/>
      </right>
      <top style="medium">
        <color theme="1"/>
      </top>
      <bottom style="thin">
        <color indexed="64"/>
      </bottom>
      <diagonal/>
    </border>
    <border>
      <left style="medium">
        <color theme="1"/>
      </left>
      <right style="thin">
        <color theme="1"/>
      </right>
      <top style="thin">
        <color theme="1"/>
      </top>
      <bottom style="medium">
        <color theme="1"/>
      </bottom>
      <diagonal/>
    </border>
    <border>
      <left style="thin">
        <color theme="1"/>
      </left>
      <right style="thin">
        <color theme="1"/>
      </right>
      <top style="thin">
        <color theme="1"/>
      </top>
      <bottom style="medium">
        <color theme="1"/>
      </bottom>
      <diagonal/>
    </border>
    <border>
      <left style="thin">
        <color theme="1"/>
      </left>
      <right style="medium">
        <color theme="1"/>
      </right>
      <top style="thin">
        <color theme="1"/>
      </top>
      <bottom style="medium">
        <color theme="1"/>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right style="thin">
        <color indexed="64"/>
      </right>
      <top style="medium">
        <color theme="1"/>
      </top>
      <bottom style="thin">
        <color indexed="64"/>
      </bottom>
      <diagonal/>
    </border>
    <border>
      <left style="thin">
        <color indexed="64"/>
      </left>
      <right/>
      <top style="medium">
        <color theme="1"/>
      </top>
      <bottom style="thin">
        <color indexed="64"/>
      </bottom>
      <diagonal/>
    </border>
    <border>
      <left style="thin">
        <color theme="1"/>
      </left>
      <right style="thin">
        <color theme="1"/>
      </right>
      <top style="medium">
        <color theme="1"/>
      </top>
      <bottom style="thin">
        <color theme="1"/>
      </bottom>
      <diagonal/>
    </border>
    <border>
      <left style="thin">
        <color theme="1"/>
      </left>
      <right style="medium">
        <color theme="1"/>
      </right>
      <top style="medium">
        <color theme="1"/>
      </top>
      <bottom style="thin">
        <color theme="1"/>
      </bottom>
      <diagonal/>
    </border>
    <border>
      <left style="medium">
        <color theme="1"/>
      </left>
      <right style="thin">
        <color theme="1"/>
      </right>
      <top style="medium">
        <color theme="1"/>
      </top>
      <bottom style="thin">
        <color theme="1"/>
      </bottom>
      <diagonal/>
    </border>
    <border>
      <left style="medium">
        <color theme="1"/>
      </left>
      <right style="medium">
        <color theme="1"/>
      </right>
      <top style="medium">
        <color theme="1"/>
      </top>
      <bottom style="thin">
        <color theme="1"/>
      </bottom>
      <diagonal/>
    </border>
    <border>
      <left style="medium">
        <color theme="1"/>
      </left>
      <right style="medium">
        <color theme="1"/>
      </right>
      <top style="thin">
        <color theme="1"/>
      </top>
      <bottom style="medium">
        <color theme="1"/>
      </bottom>
      <diagonal/>
    </border>
    <border>
      <left style="thin">
        <color rgb="FF9BACCF"/>
      </left>
      <right/>
      <top style="thin">
        <color rgb="FF9BACCF"/>
      </top>
      <bottom/>
      <diagonal/>
    </border>
    <border>
      <left/>
      <right/>
      <top style="thin">
        <color rgb="FF9BACCF"/>
      </top>
      <bottom/>
      <diagonal/>
    </border>
    <border>
      <left/>
      <right style="thin">
        <color rgb="FF9BACCF"/>
      </right>
      <top style="thin">
        <color rgb="FF9BACCF"/>
      </top>
      <bottom/>
      <diagonal/>
    </border>
    <border>
      <left style="thin">
        <color rgb="FF9BACCF"/>
      </left>
      <right/>
      <top/>
      <bottom/>
      <diagonal/>
    </border>
    <border>
      <left/>
      <right style="thin">
        <color rgb="FF9BACCF"/>
      </right>
      <top/>
      <bottom/>
      <diagonal/>
    </border>
    <border>
      <left style="thin">
        <color rgb="FF9BACCF"/>
      </left>
      <right/>
      <top/>
      <bottom style="thin">
        <color rgb="FF9BACCF"/>
      </bottom>
      <diagonal/>
    </border>
    <border>
      <left/>
      <right/>
      <top/>
      <bottom style="thin">
        <color rgb="FF9BACCF"/>
      </bottom>
      <diagonal/>
    </border>
    <border>
      <left/>
      <right style="thin">
        <color rgb="FF9BACCF"/>
      </right>
      <top/>
      <bottom style="thin">
        <color rgb="FF9BACCF"/>
      </bottom>
      <diagonal/>
    </border>
    <border>
      <left style="thin">
        <color rgb="FF9BACCF"/>
      </left>
      <right style="thin">
        <color rgb="FF9BACCF"/>
      </right>
      <top style="thin">
        <color rgb="FF9BACCF"/>
      </top>
      <bottom/>
      <diagonal/>
    </border>
    <border>
      <left style="thin">
        <color rgb="FF9BACCF"/>
      </left>
      <right style="thin">
        <color rgb="FF9BACCF"/>
      </right>
      <top/>
      <bottom/>
      <diagonal/>
    </border>
    <border>
      <left style="thin">
        <color rgb="FF9BACCF"/>
      </left>
      <right style="thin">
        <color rgb="FF9BACCF"/>
      </right>
      <top/>
      <bottom style="thin">
        <color rgb="FF9BACCF"/>
      </bottom>
      <diagonal/>
    </border>
    <border>
      <left style="thin">
        <color indexed="64"/>
      </left>
      <right style="medium">
        <color indexed="64"/>
      </right>
      <top style="thin">
        <color indexed="64"/>
      </top>
      <bottom style="medium">
        <color indexed="64"/>
      </bottom>
      <diagonal/>
    </border>
    <border>
      <left style="medium">
        <color rgb="FFD88C78"/>
      </left>
      <right style="medium">
        <color rgb="FFD88C78"/>
      </right>
      <top style="medium">
        <color rgb="FFD88C78"/>
      </top>
      <bottom style="medium">
        <color rgb="FFD88C78"/>
      </bottom>
      <diagonal/>
    </border>
    <border>
      <left style="thin">
        <color rgb="FFD88C78"/>
      </left>
      <right style="thin">
        <color rgb="FFD88C78"/>
      </right>
      <top style="thin">
        <color rgb="FFD88C78"/>
      </top>
      <bottom style="thin">
        <color rgb="FFD88C78"/>
      </bottom>
      <diagonal/>
    </border>
    <border>
      <left style="thin">
        <color rgb="FFD88C78"/>
      </left>
      <right style="thin">
        <color rgb="FFD88C78"/>
      </right>
      <top style="thin">
        <color rgb="FFD88C78"/>
      </top>
      <bottom/>
      <diagonal/>
    </border>
    <border>
      <left style="thin">
        <color rgb="FFD88C78"/>
      </left>
      <right style="thin">
        <color rgb="FFD88C78"/>
      </right>
      <top/>
      <bottom/>
      <diagonal/>
    </border>
    <border>
      <left style="thin">
        <color rgb="FFD88C78"/>
      </left>
      <right style="thin">
        <color rgb="FFD88C78"/>
      </right>
      <top/>
      <bottom style="thin">
        <color rgb="FFD88C78"/>
      </bottom>
      <diagonal/>
    </border>
    <border>
      <left/>
      <right/>
      <top style="thin">
        <color rgb="FFD88C78"/>
      </top>
      <bottom style="thin">
        <color rgb="FFD88C78"/>
      </bottom>
      <diagonal/>
    </border>
    <border>
      <left style="thin">
        <color rgb="FFD88C78"/>
      </left>
      <right/>
      <top style="thin">
        <color rgb="FFD88C78"/>
      </top>
      <bottom style="thin">
        <color rgb="FFD88C78"/>
      </bottom>
      <diagonal/>
    </border>
    <border>
      <left/>
      <right style="thin">
        <color rgb="FFD88C78"/>
      </right>
      <top style="thin">
        <color rgb="FFD88C78"/>
      </top>
      <bottom style="thin">
        <color rgb="FFD88C78"/>
      </bottom>
      <diagonal/>
    </border>
    <border>
      <left style="thin">
        <color rgb="FF69C4A3"/>
      </left>
      <right style="thin">
        <color rgb="FF69C4A3"/>
      </right>
      <top style="thin">
        <color rgb="FF69C4A3"/>
      </top>
      <bottom style="thin">
        <color rgb="FF69C4A3"/>
      </bottom>
      <diagonal/>
    </border>
    <border>
      <left style="thin">
        <color rgb="FF69C4A3"/>
      </left>
      <right style="thin">
        <color rgb="FF69C4A3"/>
      </right>
      <top style="thin">
        <color rgb="FF69C4A3"/>
      </top>
      <bottom/>
      <diagonal/>
    </border>
    <border>
      <left style="thin">
        <color rgb="FF69C4A3"/>
      </left>
      <right style="thin">
        <color rgb="FF69C4A3"/>
      </right>
      <top/>
      <bottom/>
      <diagonal/>
    </border>
    <border>
      <left style="thin">
        <color rgb="FF69C4A3"/>
      </left>
      <right style="thin">
        <color rgb="FF69C4A3"/>
      </right>
      <top style="thin">
        <color theme="0"/>
      </top>
      <bottom/>
      <diagonal/>
    </border>
    <border>
      <left style="thin">
        <color rgb="FF69C4A3"/>
      </left>
      <right style="thin">
        <color rgb="FF69C4A3"/>
      </right>
      <top/>
      <bottom style="thin">
        <color theme="0"/>
      </bottom>
      <diagonal/>
    </border>
    <border>
      <left style="thin">
        <color rgb="FF69C4A3"/>
      </left>
      <right style="thin">
        <color rgb="FF69C4A3"/>
      </right>
      <top/>
      <bottom style="thin">
        <color rgb="FF69C4A3"/>
      </bottom>
      <diagonal/>
    </border>
    <border>
      <left style="medium">
        <color rgb="FF69C4A3"/>
      </left>
      <right style="medium">
        <color rgb="FF69C4A3"/>
      </right>
      <top style="medium">
        <color rgb="FF69C4A3"/>
      </top>
      <bottom style="medium">
        <color rgb="FF69C4A3"/>
      </bottom>
      <diagonal/>
    </border>
    <border>
      <left/>
      <right/>
      <top style="medium">
        <color rgb="FF69C4A3"/>
      </top>
      <bottom/>
      <diagonal/>
    </border>
    <border>
      <left style="medium">
        <color rgb="FF69C4A3"/>
      </left>
      <right/>
      <top/>
      <bottom/>
      <diagonal/>
    </border>
    <border>
      <left/>
      <right/>
      <top/>
      <bottom style="medium">
        <color rgb="FF69C4A3"/>
      </bottom>
      <diagonal/>
    </border>
    <border>
      <left style="medium">
        <color rgb="FF69C4A3"/>
      </left>
      <right/>
      <top style="medium">
        <color rgb="FF69C4A3"/>
      </top>
      <bottom style="medium">
        <color rgb="FF69C4A3"/>
      </bottom>
      <diagonal/>
    </border>
    <border>
      <left/>
      <right style="medium">
        <color rgb="FF69C4A3"/>
      </right>
      <top style="medium">
        <color rgb="FF69C4A3"/>
      </top>
      <bottom style="medium">
        <color rgb="FF69C4A3"/>
      </bottom>
      <diagonal/>
    </border>
    <border>
      <left style="medium">
        <color rgb="FF69C4A3"/>
      </left>
      <right style="thin">
        <color rgb="FF69C4A3"/>
      </right>
      <top style="medium">
        <color rgb="FF69C4A3"/>
      </top>
      <bottom style="thin">
        <color rgb="FF69C4A3"/>
      </bottom>
      <diagonal/>
    </border>
    <border>
      <left style="medium">
        <color rgb="FF69C4A3"/>
      </left>
      <right style="thin">
        <color rgb="FF69C4A3"/>
      </right>
      <top style="thin">
        <color rgb="FF69C4A3"/>
      </top>
      <bottom style="thin">
        <color rgb="FF69C4A3"/>
      </bottom>
      <diagonal/>
    </border>
    <border>
      <left style="thin">
        <color rgb="FF7EBBD6"/>
      </left>
      <right style="thin">
        <color rgb="FF7EBBD6"/>
      </right>
      <top style="thin">
        <color rgb="FF7EBBD6"/>
      </top>
      <bottom/>
      <diagonal/>
    </border>
    <border>
      <left style="thin">
        <color rgb="FF7EBBD6"/>
      </left>
      <right style="thin">
        <color rgb="FF7EBBD6"/>
      </right>
      <top/>
      <bottom/>
      <diagonal/>
    </border>
    <border>
      <left style="thin">
        <color rgb="FF7EBBD6"/>
      </left>
      <right style="thin">
        <color rgb="FF7EBBD6"/>
      </right>
      <top style="thin">
        <color theme="0"/>
      </top>
      <bottom/>
      <diagonal/>
    </border>
    <border>
      <left style="thin">
        <color rgb="FF7EBBD6"/>
      </left>
      <right style="thin">
        <color rgb="FF7EBBD6"/>
      </right>
      <top/>
      <bottom style="thin">
        <color rgb="FF7EBBD6"/>
      </bottom>
      <diagonal/>
    </border>
    <border>
      <left style="thin">
        <color rgb="FFFED75D"/>
      </left>
      <right style="thin">
        <color rgb="FFFED75D"/>
      </right>
      <top style="thin">
        <color rgb="FFFED75D"/>
      </top>
      <bottom style="thin">
        <color rgb="FFFED75D"/>
      </bottom>
      <diagonal/>
    </border>
    <border>
      <left style="medium">
        <color rgb="FF69C4A3"/>
      </left>
      <right style="medium">
        <color rgb="FF69C4A3"/>
      </right>
      <top/>
      <bottom/>
      <diagonal/>
    </border>
    <border>
      <left/>
      <right style="thin">
        <color rgb="FF69C4A3"/>
      </right>
      <top style="medium">
        <color rgb="FF69C4A3"/>
      </top>
      <bottom style="thin">
        <color rgb="FF69C4A3"/>
      </bottom>
      <diagonal/>
    </border>
    <border>
      <left/>
      <right style="thin">
        <color rgb="FF69C4A3"/>
      </right>
      <top style="thin">
        <color rgb="FF69C4A3"/>
      </top>
      <bottom style="thin">
        <color rgb="FF69C4A3"/>
      </bottom>
      <diagonal/>
    </border>
    <border>
      <left/>
      <right style="thin">
        <color rgb="FF69C4A3"/>
      </right>
      <top style="thin">
        <color rgb="FF69C4A3"/>
      </top>
      <bottom style="medium">
        <color rgb="FF69C4A3"/>
      </bottom>
      <diagonal/>
    </border>
    <border>
      <left/>
      <right/>
      <top style="thin">
        <color rgb="FF69C4A3"/>
      </top>
      <bottom style="thin">
        <color rgb="FF69C4A3"/>
      </bottom>
      <diagonal/>
    </border>
    <border>
      <left style="thin">
        <color rgb="FF69C4A3"/>
      </left>
      <right/>
      <top style="medium">
        <color rgb="FF69C4A3"/>
      </top>
      <bottom style="thin">
        <color rgb="FF69C4A3"/>
      </bottom>
      <diagonal/>
    </border>
    <border>
      <left style="thin">
        <color rgb="FF69C4A3"/>
      </left>
      <right/>
      <top style="thin">
        <color rgb="FF69C4A3"/>
      </top>
      <bottom style="thin">
        <color rgb="FF69C4A3"/>
      </bottom>
      <diagonal/>
    </border>
    <border>
      <left style="thin">
        <color rgb="FF69C4A3"/>
      </left>
      <right/>
      <top style="thin">
        <color rgb="FF69C4A3"/>
      </top>
      <bottom style="medium">
        <color rgb="FF69C4A3"/>
      </bottom>
      <diagonal/>
    </border>
    <border>
      <left/>
      <right/>
      <top style="medium">
        <color rgb="FF69C4A3"/>
      </top>
      <bottom style="thin">
        <color rgb="FF69C4A3"/>
      </bottom>
      <diagonal/>
    </border>
    <border>
      <left style="medium">
        <color rgb="FF69C4A3"/>
      </left>
      <right style="medium">
        <color rgb="FF69C4A3"/>
      </right>
      <top/>
      <bottom style="medium">
        <color rgb="FF69C4A3"/>
      </bottom>
      <diagonal/>
    </border>
    <border>
      <left style="medium">
        <color rgb="FF69C4A3"/>
      </left>
      <right style="medium">
        <color rgb="FF69C4A3"/>
      </right>
      <top style="medium">
        <color rgb="FF69C4A3"/>
      </top>
      <bottom/>
      <diagonal/>
    </border>
    <border>
      <left/>
      <right/>
      <top style="thin">
        <color rgb="FF69C4A3"/>
      </top>
      <bottom/>
      <diagonal/>
    </border>
    <border>
      <left style="medium">
        <color rgb="FF69C4A3"/>
      </left>
      <right/>
      <top style="medium">
        <color rgb="FF69C4A3"/>
      </top>
      <bottom style="thin">
        <color rgb="FF69C4A3"/>
      </bottom>
      <diagonal/>
    </border>
    <border>
      <left style="medium">
        <color indexed="64"/>
      </left>
      <right style="medium">
        <color rgb="FF69C4A3"/>
      </right>
      <top style="medium">
        <color rgb="FF69C4A3"/>
      </top>
      <bottom style="thin">
        <color rgb="FF69C4A3"/>
      </bottom>
      <diagonal/>
    </border>
    <border>
      <left style="medium">
        <color rgb="FF69C4A3"/>
      </left>
      <right/>
      <top style="thin">
        <color rgb="FF69C4A3"/>
      </top>
      <bottom style="thin">
        <color rgb="FF69C4A3"/>
      </bottom>
      <diagonal/>
    </border>
    <border>
      <left style="medium">
        <color indexed="64"/>
      </left>
      <right style="medium">
        <color rgb="FF69C4A3"/>
      </right>
      <top style="thin">
        <color rgb="FF69C4A3"/>
      </top>
      <bottom style="thin">
        <color rgb="FF69C4A3"/>
      </bottom>
      <diagonal/>
    </border>
    <border>
      <left style="medium">
        <color rgb="FF69C4A3"/>
      </left>
      <right/>
      <top style="thin">
        <color rgb="FF69C4A3"/>
      </top>
      <bottom style="medium">
        <color rgb="FF69C4A3"/>
      </bottom>
      <diagonal/>
    </border>
    <border>
      <left style="medium">
        <color indexed="64"/>
      </left>
      <right style="medium">
        <color rgb="FF69C4A3"/>
      </right>
      <top style="thin">
        <color rgb="FF69C4A3"/>
      </top>
      <bottom style="medium">
        <color rgb="FF69C4A3"/>
      </bottom>
      <diagonal/>
    </border>
    <border>
      <left style="medium">
        <color rgb="FF69C4A3"/>
      </left>
      <right style="medium">
        <color theme="1"/>
      </right>
      <top/>
      <bottom style="thin">
        <color rgb="FF69C4A3"/>
      </bottom>
      <diagonal/>
    </border>
    <border>
      <left/>
      <right style="medium">
        <color rgb="FF69C4A3"/>
      </right>
      <top/>
      <bottom style="thin">
        <color rgb="FF69C4A3"/>
      </bottom>
      <diagonal/>
    </border>
    <border>
      <left style="medium">
        <color rgb="FF69C4A3"/>
      </left>
      <right style="medium">
        <color theme="1"/>
      </right>
      <top style="thin">
        <color rgb="FF69C4A3"/>
      </top>
      <bottom style="thin">
        <color rgb="FF69C4A3"/>
      </bottom>
      <diagonal/>
    </border>
    <border>
      <left/>
      <right style="medium">
        <color rgb="FF69C4A3"/>
      </right>
      <top style="thin">
        <color rgb="FF69C4A3"/>
      </top>
      <bottom style="thin">
        <color rgb="FF69C4A3"/>
      </bottom>
      <diagonal/>
    </border>
    <border>
      <left style="medium">
        <color rgb="FF69C4A3"/>
      </left>
      <right style="medium">
        <color indexed="64"/>
      </right>
      <top style="thin">
        <color rgb="FF69C4A3"/>
      </top>
      <bottom style="thin">
        <color rgb="FF69C4A3"/>
      </bottom>
      <diagonal/>
    </border>
    <border>
      <left/>
      <right style="medium">
        <color rgb="FF69C4A3"/>
      </right>
      <top style="thin">
        <color rgb="FF69C4A3"/>
      </top>
      <bottom/>
      <diagonal/>
    </border>
    <border>
      <left style="medium">
        <color theme="1"/>
      </left>
      <right style="medium">
        <color rgb="FF69C4A3"/>
      </right>
      <top style="thin">
        <color rgb="FF69C4A3"/>
      </top>
      <bottom style="thin">
        <color rgb="FF69C4A3"/>
      </bottom>
      <diagonal/>
    </border>
    <border>
      <left style="medium">
        <color rgb="FF69C4A3"/>
      </left>
      <right/>
      <top style="thin">
        <color rgb="FF69C4A3"/>
      </top>
      <bottom/>
      <diagonal/>
    </border>
    <border>
      <left style="medium">
        <color rgb="FF69C4A3"/>
      </left>
      <right style="medium">
        <color indexed="64"/>
      </right>
      <top style="medium">
        <color rgb="FF69C4A3"/>
      </top>
      <bottom style="thin">
        <color rgb="FF69C4A3"/>
      </bottom>
      <diagonal/>
    </border>
    <border>
      <left style="medium">
        <color rgb="FF69C4A3"/>
      </left>
      <right style="medium">
        <color indexed="64"/>
      </right>
      <top style="thin">
        <color rgb="FF69C4A3"/>
      </top>
      <bottom style="medium">
        <color rgb="FF69C4A3"/>
      </bottom>
      <diagonal/>
    </border>
    <border>
      <left/>
      <right style="medium">
        <color rgb="FF69C4A3"/>
      </right>
      <top style="thin">
        <color rgb="FF69C4A3"/>
      </top>
      <bottom style="medium">
        <color rgb="FF69C4A3"/>
      </bottom>
      <diagonal/>
    </border>
    <border>
      <left style="medium">
        <color rgb="FF69C4A3"/>
      </left>
      <right style="medium">
        <color theme="1"/>
      </right>
      <top style="medium">
        <color rgb="FF69C4A3"/>
      </top>
      <bottom style="thin">
        <color rgb="FF69C4A3"/>
      </bottom>
      <diagonal/>
    </border>
    <border>
      <left style="medium">
        <color theme="1"/>
      </left>
      <right style="medium">
        <color rgb="FF69C4A3"/>
      </right>
      <top style="medium">
        <color rgb="FF69C4A3"/>
      </top>
      <bottom style="thin">
        <color rgb="FF69C4A3"/>
      </bottom>
      <diagonal/>
    </border>
    <border>
      <left style="medium">
        <color rgb="FF69C4A3"/>
      </left>
      <right style="medium">
        <color theme="1"/>
      </right>
      <top style="thin">
        <color rgb="FF69C4A3"/>
      </top>
      <bottom style="medium">
        <color rgb="FF69C4A3"/>
      </bottom>
      <diagonal/>
    </border>
    <border>
      <left/>
      <right/>
      <top style="medium">
        <color rgb="FF69C4A3"/>
      </top>
      <bottom style="medium">
        <color rgb="FF69C4A3"/>
      </bottom>
      <diagonal/>
    </border>
    <border>
      <left/>
      <right/>
      <top style="thin">
        <color rgb="FF69C4A3"/>
      </top>
      <bottom style="medium">
        <color rgb="FF69C4A3"/>
      </bottom>
      <diagonal/>
    </border>
    <border>
      <left/>
      <right style="medium">
        <color rgb="FF69C4A3"/>
      </right>
      <top style="medium">
        <color rgb="FF69C4A3"/>
      </top>
      <bottom/>
      <diagonal/>
    </border>
    <border>
      <left style="medium">
        <color rgb="FF69C4A3"/>
      </left>
      <right style="medium">
        <color rgb="FF69C4A3"/>
      </right>
      <top style="medium">
        <color rgb="FF69C4A3"/>
      </top>
      <bottom style="thin">
        <color rgb="FF69C4A3"/>
      </bottom>
      <diagonal/>
    </border>
    <border>
      <left style="medium">
        <color rgb="FF69C4A3"/>
      </left>
      <right style="medium">
        <color rgb="FF69C4A3"/>
      </right>
      <top style="thin">
        <color rgb="FF69C4A3"/>
      </top>
      <bottom style="thin">
        <color rgb="FF69C4A3"/>
      </bottom>
      <diagonal/>
    </border>
    <border>
      <left style="medium">
        <color rgb="FF69C4A3"/>
      </left>
      <right style="medium">
        <color rgb="FF69C4A3"/>
      </right>
      <top style="thin">
        <color rgb="FF69C4A3"/>
      </top>
      <bottom style="medium">
        <color rgb="FF69C4A3"/>
      </bottom>
      <diagonal/>
    </border>
    <border>
      <left style="medium">
        <color rgb="FF69C4A3"/>
      </left>
      <right style="medium">
        <color rgb="FF69C4A3"/>
      </right>
      <top style="thin">
        <color rgb="FF69C4A3"/>
      </top>
      <bottom/>
      <diagonal/>
    </border>
    <border>
      <left style="medium">
        <color rgb="FF69C4A3"/>
      </left>
      <right style="medium">
        <color rgb="FF69C4A3"/>
      </right>
      <top/>
      <bottom style="thin">
        <color rgb="FF69C4A3"/>
      </bottom>
      <diagonal/>
    </border>
    <border>
      <left/>
      <right/>
      <top/>
      <bottom style="thin">
        <color rgb="FF69C4A3"/>
      </bottom>
      <diagonal/>
    </border>
    <border>
      <left style="medium">
        <color rgb="FF69C4A3"/>
      </left>
      <right/>
      <top style="medium">
        <color rgb="FF69C4A3"/>
      </top>
      <bottom/>
      <diagonal/>
    </border>
    <border>
      <left style="thin">
        <color rgb="FF69C4A3"/>
      </left>
      <right/>
      <top style="thin">
        <color rgb="FF69C4A3"/>
      </top>
      <bottom/>
      <diagonal/>
    </border>
    <border>
      <left/>
      <right style="thin">
        <color rgb="FF69C4A3"/>
      </right>
      <top style="thin">
        <color rgb="FF69C4A3"/>
      </top>
      <bottom/>
      <diagonal/>
    </border>
    <border>
      <left style="thin">
        <color rgb="FF69C4A3"/>
      </left>
      <right/>
      <top/>
      <bottom style="thin">
        <color theme="0"/>
      </bottom>
      <diagonal/>
    </border>
    <border>
      <left/>
      <right style="thin">
        <color rgb="FF69C4A3"/>
      </right>
      <top/>
      <bottom style="thin">
        <color theme="0"/>
      </bottom>
      <diagonal/>
    </border>
    <border>
      <left style="thin">
        <color rgb="FF69C4A3"/>
      </left>
      <right/>
      <top/>
      <bottom/>
      <diagonal/>
    </border>
    <border>
      <left/>
      <right style="thin">
        <color rgb="FF69C4A3"/>
      </right>
      <top/>
      <bottom/>
      <diagonal/>
    </border>
    <border>
      <left style="thin">
        <color rgb="FF69C4A3"/>
      </left>
      <right/>
      <top/>
      <bottom style="thin">
        <color rgb="FF69C4A3"/>
      </bottom>
      <diagonal/>
    </border>
    <border>
      <left/>
      <right style="thin">
        <color rgb="FF69C4A3"/>
      </right>
      <top/>
      <bottom style="thin">
        <color rgb="FF69C4A3"/>
      </bottom>
      <diagonal/>
    </border>
    <border>
      <left style="thin">
        <color rgb="FFFED75D"/>
      </left>
      <right/>
      <top style="thin">
        <color rgb="FFFED75D"/>
      </top>
      <bottom/>
      <diagonal/>
    </border>
    <border>
      <left/>
      <right/>
      <top style="thin">
        <color rgb="FFFED75D"/>
      </top>
      <bottom/>
      <diagonal/>
    </border>
    <border>
      <left/>
      <right style="thin">
        <color rgb="FFFED75D"/>
      </right>
      <top style="thin">
        <color rgb="FFFED75D"/>
      </top>
      <bottom/>
      <diagonal/>
    </border>
    <border>
      <left style="thin">
        <color rgb="FFFED75D"/>
      </left>
      <right/>
      <top/>
      <bottom/>
      <diagonal/>
    </border>
    <border>
      <left/>
      <right style="thin">
        <color rgb="FFFED75D"/>
      </right>
      <top/>
      <bottom/>
      <diagonal/>
    </border>
    <border>
      <left style="thin">
        <color rgb="FFFED75D"/>
      </left>
      <right/>
      <top/>
      <bottom style="thin">
        <color rgb="FFFED75D"/>
      </bottom>
      <diagonal/>
    </border>
    <border>
      <left/>
      <right/>
      <top/>
      <bottom style="thin">
        <color rgb="FFFED75D"/>
      </bottom>
      <diagonal/>
    </border>
    <border>
      <left/>
      <right style="thin">
        <color rgb="FFFED75D"/>
      </right>
      <top/>
      <bottom style="thin">
        <color rgb="FFFED75D"/>
      </bottom>
      <diagonal/>
    </border>
    <border>
      <left style="thin">
        <color rgb="FF7EBBD6"/>
      </left>
      <right style="thin">
        <color rgb="FF7EBBD6"/>
      </right>
      <top/>
      <bottom style="thin">
        <color theme="0"/>
      </bottom>
      <diagonal/>
    </border>
    <border>
      <left style="medium">
        <color rgb="FF69C4A3"/>
      </left>
      <right style="thin">
        <color rgb="FF69C4A3"/>
      </right>
      <top style="thin">
        <color rgb="FF69C4A3"/>
      </top>
      <bottom style="medium">
        <color rgb="FF69C4A3"/>
      </bottom>
      <diagonal/>
    </border>
    <border>
      <left style="thin">
        <color rgb="FF69C4A3"/>
      </left>
      <right style="thin">
        <color rgb="FF69C4A3"/>
      </right>
      <top style="thin">
        <color rgb="FF69C4A3"/>
      </top>
      <bottom style="medium">
        <color rgb="FF69C4A3"/>
      </bottom>
      <diagonal/>
    </border>
    <border>
      <left style="medium">
        <color rgb="FF69C4A3"/>
      </left>
      <right style="thin">
        <color rgb="FF69C4A3"/>
      </right>
      <top style="thin">
        <color rgb="FF69C4A3"/>
      </top>
      <bottom/>
      <diagonal/>
    </border>
    <border>
      <left style="medium">
        <color rgb="FF69C4A3"/>
      </left>
      <right style="thin">
        <color rgb="FF69C4A3"/>
      </right>
      <top style="medium">
        <color rgb="FF69C4A3"/>
      </top>
      <bottom style="medium">
        <color rgb="FF69C4A3"/>
      </bottom>
      <diagonal/>
    </border>
    <border>
      <left style="thin">
        <color rgb="FF69C4A3"/>
      </left>
      <right style="thin">
        <color rgb="FF69C4A3"/>
      </right>
      <top style="medium">
        <color rgb="FF69C4A3"/>
      </top>
      <bottom style="medium">
        <color rgb="FF69C4A3"/>
      </bottom>
      <diagonal/>
    </border>
    <border>
      <left style="thin">
        <color rgb="FF69C4A3"/>
      </left>
      <right style="thin">
        <color rgb="FF69C4A3"/>
      </right>
      <top style="medium">
        <color rgb="FF69C4A3"/>
      </top>
      <bottom style="thin">
        <color rgb="FF69C4A3"/>
      </bottom>
      <diagonal/>
    </border>
    <border>
      <left style="thin">
        <color rgb="FF69C4A3"/>
      </left>
      <right style="medium">
        <color rgb="FF69C4A3"/>
      </right>
      <top style="medium">
        <color rgb="FF69C4A3"/>
      </top>
      <bottom style="thin">
        <color rgb="FF69C4A3"/>
      </bottom>
      <diagonal/>
    </border>
    <border>
      <left style="thin">
        <color rgb="FF69C4A3"/>
      </left>
      <right style="medium">
        <color rgb="FF69C4A3"/>
      </right>
      <top style="thin">
        <color rgb="FF69C4A3"/>
      </top>
      <bottom style="thin">
        <color rgb="FF69C4A3"/>
      </bottom>
      <diagonal/>
    </border>
    <border>
      <left style="thin">
        <color rgb="FF69C4A3"/>
      </left>
      <right style="medium">
        <color rgb="FF69C4A3"/>
      </right>
      <top style="thin">
        <color rgb="FF69C4A3"/>
      </top>
      <bottom style="medium">
        <color rgb="FF69C4A3"/>
      </bottom>
      <diagonal/>
    </border>
    <border>
      <left style="medium">
        <color rgb="FF69C4A3"/>
      </left>
      <right style="thin">
        <color rgb="FF69C4A3"/>
      </right>
      <top style="medium">
        <color indexed="64"/>
      </top>
      <bottom style="medium">
        <color rgb="FF69C4A3"/>
      </bottom>
      <diagonal/>
    </border>
    <border>
      <left style="thin">
        <color rgb="FF69C4A3"/>
      </left>
      <right style="thin">
        <color rgb="FF69C4A3"/>
      </right>
      <top style="medium">
        <color indexed="64"/>
      </top>
      <bottom style="medium">
        <color rgb="FF69C4A3"/>
      </bottom>
      <diagonal/>
    </border>
    <border>
      <left/>
      <right style="medium">
        <color rgb="FF69C4A3"/>
      </right>
      <top style="medium">
        <color rgb="FF69C4A3"/>
      </top>
      <bottom style="thin">
        <color rgb="FF69C4A3"/>
      </bottom>
      <diagonal/>
    </border>
    <border>
      <left style="medium">
        <color rgb="FF69C4A3"/>
      </left>
      <right/>
      <top/>
      <bottom style="thin">
        <color indexed="64"/>
      </bottom>
      <diagonal/>
    </border>
    <border>
      <left style="medium">
        <color rgb="FF69C4A3"/>
      </left>
      <right/>
      <top style="thin">
        <color indexed="64"/>
      </top>
      <bottom style="medium">
        <color rgb="FF69C4A3"/>
      </bottom>
      <diagonal/>
    </border>
    <border>
      <left style="thin">
        <color rgb="FF69C4A3"/>
      </left>
      <right/>
      <top style="medium">
        <color indexed="64"/>
      </top>
      <bottom style="medium">
        <color rgb="FF69C4A3"/>
      </bottom>
      <diagonal/>
    </border>
    <border>
      <left style="thin">
        <color rgb="FFFED75D"/>
      </left>
      <right style="thin">
        <color rgb="FFFED75D"/>
      </right>
      <top style="thin">
        <color rgb="FFFED75D"/>
      </top>
      <bottom/>
      <diagonal/>
    </border>
    <border>
      <left style="thin">
        <color rgb="FFFED75D"/>
      </left>
      <right style="thin">
        <color rgb="FFFED75D"/>
      </right>
      <top/>
      <bottom/>
      <diagonal/>
    </border>
    <border>
      <left style="thin">
        <color rgb="FFFED75D"/>
      </left>
      <right style="thin">
        <color rgb="FFFED75D"/>
      </right>
      <top/>
      <bottom style="thin">
        <color rgb="FFFED75D"/>
      </bottom>
      <diagonal/>
    </border>
    <border>
      <left style="medium">
        <color indexed="64"/>
      </left>
      <right/>
      <top/>
      <bottom style="thin">
        <color indexed="64"/>
      </bottom>
      <diagonal/>
    </border>
    <border>
      <left style="medium">
        <color rgb="FF69C4A3"/>
      </left>
      <right/>
      <top/>
      <bottom style="medium">
        <color rgb="FF69C4A3"/>
      </bottom>
      <diagonal/>
    </border>
    <border>
      <left/>
      <right style="medium">
        <color rgb="FF69C4A3"/>
      </right>
      <top/>
      <bottom/>
      <diagonal/>
    </border>
    <border>
      <left/>
      <right style="medium">
        <color rgb="FF69C4A3"/>
      </right>
      <top/>
      <bottom style="medium">
        <color rgb="FF69C4A3"/>
      </bottom>
      <diagonal/>
    </border>
    <border>
      <left style="thin">
        <color rgb="FFD88C78"/>
      </left>
      <right style="thin">
        <color rgb="FFD88C78"/>
      </right>
      <top style="thin">
        <color theme="0"/>
      </top>
      <bottom style="thin">
        <color rgb="FFD88C78"/>
      </bottom>
      <diagonal/>
    </border>
    <border>
      <left style="thin">
        <color rgb="FFD88C78"/>
      </left>
      <right style="thin">
        <color rgb="FFD88C78"/>
      </right>
      <top style="thin">
        <color rgb="FFD88C78"/>
      </top>
      <bottom style="thin">
        <color theme="0"/>
      </bottom>
      <diagonal/>
    </border>
    <border>
      <left style="medium">
        <color rgb="FF69C4A3"/>
      </left>
      <right style="thin">
        <color rgb="FF69C4A3"/>
      </right>
      <top/>
      <bottom/>
      <diagonal/>
    </border>
  </borders>
  <cellStyleXfs count="4">
    <xf numFmtId="0" fontId="0" fillId="0" borderId="0"/>
    <xf numFmtId="0" fontId="5" fillId="0" borderId="0" applyNumberFormat="0" applyFill="0" applyBorder="0" applyAlignment="0" applyProtection="0">
      <alignment vertical="top"/>
      <protection locked="0"/>
    </xf>
    <xf numFmtId="0" fontId="9" fillId="0" borderId="0" applyNumberFormat="0" applyFill="0" applyBorder="0" applyAlignment="0" applyProtection="0"/>
    <xf numFmtId="0" fontId="12" fillId="3" borderId="1">
      <alignment horizontal="center" vertical="top" wrapText="1"/>
    </xf>
  </cellStyleXfs>
  <cellXfs count="916">
    <xf numFmtId="0" fontId="0" fillId="0" borderId="0" xfId="0"/>
    <xf numFmtId="0" fontId="0" fillId="2" borderId="0" xfId="0" applyFill="1"/>
    <xf numFmtId="0" fontId="0" fillId="2" borderId="16" xfId="0" applyFill="1" applyBorder="1"/>
    <xf numFmtId="0" fontId="0" fillId="2" borderId="38" xfId="0" applyFill="1" applyBorder="1"/>
    <xf numFmtId="0" fontId="0" fillId="2" borderId="17" xfId="0" applyFill="1" applyBorder="1"/>
    <xf numFmtId="0" fontId="0" fillId="2" borderId="21" xfId="0" applyFill="1" applyBorder="1"/>
    <xf numFmtId="0" fontId="4" fillId="2" borderId="0" xfId="0" applyFont="1" applyFill="1"/>
    <xf numFmtId="0" fontId="3" fillId="2" borderId="0" xfId="0" applyFont="1" applyFill="1"/>
    <xf numFmtId="0" fontId="3" fillId="2" borderId="0" xfId="0" applyFont="1" applyFill="1" applyAlignment="1">
      <alignment vertical="top" wrapText="1"/>
    </xf>
    <xf numFmtId="0" fontId="3" fillId="2" borderId="16" xfId="0" applyFont="1" applyFill="1" applyBorder="1"/>
    <xf numFmtId="0" fontId="3" fillId="2" borderId="0" xfId="0" applyFont="1" applyFill="1" applyAlignment="1">
      <alignment wrapText="1"/>
    </xf>
    <xf numFmtId="0" fontId="7" fillId="2" borderId="0" xfId="1" applyFont="1" applyFill="1" applyBorder="1" applyAlignment="1" applyProtection="1">
      <alignment horizontal="left"/>
    </xf>
    <xf numFmtId="0" fontId="7" fillId="2" borderId="0" xfId="1" applyFont="1" applyFill="1" applyBorder="1" applyAlignment="1" applyProtection="1"/>
    <xf numFmtId="0" fontId="7" fillId="2" borderId="0" xfId="1" applyFont="1" applyFill="1" applyBorder="1" applyAlignment="1" applyProtection="1">
      <alignment vertical="center"/>
    </xf>
    <xf numFmtId="0" fontId="0" fillId="2" borderId="38" xfId="0" applyFill="1" applyBorder="1" applyAlignment="1">
      <alignment vertical="top" wrapText="1"/>
    </xf>
    <xf numFmtId="0" fontId="0" fillId="2" borderId="15" xfId="0" applyFill="1" applyBorder="1"/>
    <xf numFmtId="0" fontId="14" fillId="0" borderId="0" xfId="0" applyFont="1"/>
    <xf numFmtId="0" fontId="18" fillId="2" borderId="22" xfId="0" applyFont="1" applyFill="1" applyBorder="1" applyAlignment="1">
      <alignment wrapText="1"/>
    </xf>
    <xf numFmtId="0" fontId="21" fillId="2" borderId="0" xfId="0" applyFont="1" applyFill="1"/>
    <xf numFmtId="0" fontId="24" fillId="2" borderId="0" xfId="0" applyFont="1" applyFill="1"/>
    <xf numFmtId="0" fontId="25" fillId="2" borderId="0" xfId="0" applyFont="1" applyFill="1"/>
    <xf numFmtId="0" fontId="26" fillId="2" borderId="0" xfId="0" applyFont="1" applyFill="1"/>
    <xf numFmtId="0" fontId="28" fillId="2" borderId="0" xfId="0" applyFont="1" applyFill="1"/>
    <xf numFmtId="0" fontId="21" fillId="2" borderId="0" xfId="0" applyFont="1" applyFill="1" applyAlignment="1">
      <alignment horizontal="center" vertical="center"/>
    </xf>
    <xf numFmtId="0" fontId="28" fillId="5" borderId="0" xfId="0" applyFont="1" applyFill="1" applyAlignment="1" applyProtection="1">
      <alignment horizontal="center" vertical="center"/>
      <protection locked="0"/>
    </xf>
    <xf numFmtId="0" fontId="28" fillId="2" borderId="0" xfId="0" applyFont="1" applyFill="1" applyAlignment="1">
      <alignment horizontal="center"/>
    </xf>
    <xf numFmtId="0" fontId="30" fillId="2" borderId="0" xfId="0" applyFont="1" applyFill="1" applyAlignment="1">
      <alignment horizontal="center" vertical="center"/>
    </xf>
    <xf numFmtId="0" fontId="25" fillId="2" borderId="0" xfId="0" applyFont="1" applyFill="1" applyAlignment="1">
      <alignment vertical="center"/>
    </xf>
    <xf numFmtId="0" fontId="25" fillId="2" borderId="5" xfId="0" applyFont="1" applyFill="1" applyBorder="1" applyProtection="1">
      <protection locked="0"/>
    </xf>
    <xf numFmtId="0" fontId="32" fillId="2" borderId="5" xfId="0" applyFont="1" applyFill="1" applyBorder="1" applyAlignment="1" applyProtection="1">
      <alignment horizontal="center" vertical="center"/>
      <protection locked="0"/>
    </xf>
    <xf numFmtId="0" fontId="21" fillId="2" borderId="5" xfId="0" applyFont="1" applyFill="1" applyBorder="1" applyProtection="1">
      <protection locked="0"/>
    </xf>
    <xf numFmtId="0" fontId="21" fillId="2" borderId="42" xfId="0" applyFont="1" applyFill="1" applyBorder="1" applyProtection="1">
      <protection locked="0"/>
    </xf>
    <xf numFmtId="0" fontId="32" fillId="2" borderId="0" xfId="0" applyFont="1" applyFill="1" applyProtection="1">
      <protection locked="0"/>
    </xf>
    <xf numFmtId="0" fontId="21" fillId="2" borderId="0" xfId="0" applyFont="1" applyFill="1" applyProtection="1">
      <protection locked="0"/>
    </xf>
    <xf numFmtId="0" fontId="28" fillId="2" borderId="0" xfId="0" applyFont="1" applyFill="1" applyAlignment="1" applyProtection="1">
      <alignment horizontal="right"/>
      <protection locked="0"/>
    </xf>
    <xf numFmtId="0" fontId="28" fillId="2" borderId="0" xfId="0" applyFont="1" applyFill="1" applyProtection="1">
      <protection locked="0"/>
    </xf>
    <xf numFmtId="0" fontId="34" fillId="2" borderId="0" xfId="0" applyFont="1" applyFill="1"/>
    <xf numFmtId="0" fontId="32" fillId="2" borderId="0" xfId="0" applyFont="1" applyFill="1" applyAlignment="1" applyProtection="1">
      <alignment horizontal="left" vertical="top" wrapText="1"/>
      <protection locked="0"/>
    </xf>
    <xf numFmtId="0" fontId="35" fillId="2" borderId="0" xfId="0" applyFont="1" applyFill="1" applyProtection="1">
      <protection locked="0"/>
    </xf>
    <xf numFmtId="0" fontId="21" fillId="2" borderId="8" xfId="0" applyFont="1" applyFill="1" applyBorder="1" applyAlignment="1" applyProtection="1">
      <alignment horizontal="left" vertical="top" wrapText="1"/>
      <protection locked="0"/>
    </xf>
    <xf numFmtId="0" fontId="21" fillId="2" borderId="8" xfId="0" applyFont="1" applyFill="1" applyBorder="1" applyProtection="1">
      <protection locked="0"/>
    </xf>
    <xf numFmtId="0" fontId="32" fillId="2" borderId="8" xfId="0" applyFont="1" applyFill="1" applyBorder="1" applyAlignment="1" applyProtection="1">
      <alignment horizontal="left" vertical="top" wrapText="1"/>
      <protection locked="0"/>
    </xf>
    <xf numFmtId="0" fontId="22" fillId="2" borderId="0" xfId="0" applyFont="1" applyFill="1" applyAlignment="1">
      <alignment horizontal="center" vertical="center"/>
    </xf>
    <xf numFmtId="0" fontId="22" fillId="2" borderId="0" xfId="0" applyFont="1" applyFill="1" applyAlignment="1">
      <alignment horizontal="left" vertical="center"/>
    </xf>
    <xf numFmtId="0" fontId="36" fillId="2" borderId="0" xfId="0" applyFont="1" applyFill="1"/>
    <xf numFmtId="0" fontId="22" fillId="2" borderId="0" xfId="0" applyFont="1" applyFill="1"/>
    <xf numFmtId="0" fontId="32" fillId="2" borderId="0" xfId="0" applyFont="1" applyFill="1" applyAlignment="1">
      <alignment horizontal="left"/>
    </xf>
    <xf numFmtId="0" fontId="32" fillId="2" borderId="0" xfId="0" applyFont="1" applyFill="1" applyAlignment="1">
      <alignment horizontal="center"/>
    </xf>
    <xf numFmtId="0" fontId="28" fillId="2" borderId="0" xfId="0" applyFont="1" applyFill="1" applyAlignment="1" applyProtection="1">
      <alignment horizontal="center"/>
      <protection locked="0"/>
    </xf>
    <xf numFmtId="0" fontId="32" fillId="2" borderId="0" xfId="0" applyFont="1" applyFill="1" applyAlignment="1" applyProtection="1">
      <alignment horizontal="left"/>
      <protection locked="0"/>
    </xf>
    <xf numFmtId="0" fontId="32" fillId="2" borderId="0" xfId="0" applyFont="1" applyFill="1" applyAlignment="1" applyProtection="1">
      <alignment horizontal="center"/>
      <protection locked="0"/>
    </xf>
    <xf numFmtId="0" fontId="32" fillId="2" borderId="0" xfId="0" applyFont="1" applyFill="1" applyAlignment="1" applyProtection="1">
      <alignment horizontal="left" vertical="center"/>
      <protection locked="0"/>
    </xf>
    <xf numFmtId="0" fontId="22" fillId="2" borderId="0" xfId="0" applyFont="1" applyFill="1" applyAlignment="1" applyProtection="1">
      <alignment horizontal="left" vertical="center"/>
      <protection locked="0"/>
    </xf>
    <xf numFmtId="0" fontId="22" fillId="2" borderId="0" xfId="0" applyFont="1" applyFill="1" applyAlignment="1" applyProtection="1">
      <alignment vertical="center" textRotation="90" wrapText="1"/>
      <protection locked="0"/>
    </xf>
    <xf numFmtId="0" fontId="22" fillId="2" borderId="0" xfId="0" applyFont="1" applyFill="1" applyProtection="1">
      <protection locked="0"/>
    </xf>
    <xf numFmtId="0" fontId="32" fillId="2" borderId="0" xfId="0" applyFont="1" applyFill="1" applyAlignment="1" applyProtection="1">
      <alignment vertical="center" textRotation="90" wrapText="1"/>
      <protection locked="0"/>
    </xf>
    <xf numFmtId="0" fontId="20" fillId="2" borderId="0" xfId="0" applyFont="1" applyFill="1" applyAlignment="1">
      <alignment vertical="top" wrapText="1"/>
    </xf>
    <xf numFmtId="164" fontId="24" fillId="2" borderId="0" xfId="0" applyNumberFormat="1" applyFont="1" applyFill="1" applyAlignment="1">
      <alignment vertical="center"/>
    </xf>
    <xf numFmtId="0" fontId="21" fillId="2" borderId="5" xfId="0" applyFont="1" applyFill="1" applyBorder="1"/>
    <xf numFmtId="0" fontId="28" fillId="2" borderId="42" xfId="0" applyFont="1" applyFill="1" applyBorder="1" applyAlignment="1" applyProtection="1">
      <alignment horizontal="right"/>
      <protection locked="0"/>
    </xf>
    <xf numFmtId="0" fontId="37" fillId="2" borderId="0" xfId="0" applyFont="1" applyFill="1"/>
    <xf numFmtId="0" fontId="32" fillId="2" borderId="0" xfId="0" applyFont="1" applyFill="1"/>
    <xf numFmtId="0" fontId="37" fillId="2" borderId="0" xfId="0" applyFont="1" applyFill="1" applyAlignment="1">
      <alignment horizontal="left"/>
    </xf>
    <xf numFmtId="0" fontId="37" fillId="2" borderId="0" xfId="0" applyFont="1" applyFill="1" applyAlignment="1">
      <alignment horizontal="left" vertical="center"/>
    </xf>
    <xf numFmtId="0" fontId="32" fillId="2" borderId="0" xfId="0" applyFont="1" applyFill="1" applyAlignment="1">
      <alignment horizontal="left" vertical="center"/>
    </xf>
    <xf numFmtId="0" fontId="34" fillId="2" borderId="42" xfId="0" applyFont="1" applyFill="1" applyBorder="1" applyProtection="1">
      <protection locked="0"/>
    </xf>
    <xf numFmtId="0" fontId="38" fillId="2" borderId="0" xfId="0" applyFont="1" applyFill="1"/>
    <xf numFmtId="0" fontId="39" fillId="2" borderId="0" xfId="0" applyFont="1" applyFill="1"/>
    <xf numFmtId="0" fontId="14" fillId="2" borderId="42" xfId="0" applyFont="1" applyFill="1" applyBorder="1" applyProtection="1">
      <protection locked="0"/>
    </xf>
    <xf numFmtId="0" fontId="34" fillId="2" borderId="7" xfId="0" applyFont="1" applyFill="1" applyBorder="1" applyProtection="1">
      <protection locked="0"/>
    </xf>
    <xf numFmtId="0" fontId="35" fillId="2" borderId="0" xfId="0" applyFont="1" applyFill="1"/>
    <xf numFmtId="0" fontId="34" fillId="2" borderId="0" xfId="0" applyFont="1" applyFill="1" applyProtection="1">
      <protection locked="0"/>
    </xf>
    <xf numFmtId="0" fontId="21" fillId="2" borderId="0" xfId="0" applyFont="1" applyFill="1" applyAlignment="1">
      <alignment horizontal="center"/>
    </xf>
    <xf numFmtId="0" fontId="36" fillId="2" borderId="0" xfId="0" applyFont="1" applyFill="1" applyAlignment="1">
      <alignment horizontal="center" vertical="center" wrapText="1"/>
    </xf>
    <xf numFmtId="0" fontId="14" fillId="2" borderId="0" xfId="0" applyFont="1" applyFill="1"/>
    <xf numFmtId="0" fontId="29" fillId="2" borderId="0" xfId="0" applyFont="1" applyFill="1" applyAlignment="1">
      <alignment horizontal="center" vertical="center" wrapText="1"/>
    </xf>
    <xf numFmtId="0" fontId="24" fillId="2" borderId="0" xfId="0" applyFont="1" applyFill="1" applyAlignment="1">
      <alignment horizontal="center" vertical="center" wrapText="1"/>
    </xf>
    <xf numFmtId="0" fontId="14" fillId="2" borderId="42" xfId="0" applyFont="1" applyFill="1" applyBorder="1" applyAlignment="1">
      <alignment horizontal="right"/>
    </xf>
    <xf numFmtId="0" fontId="14" fillId="2" borderId="0" xfId="0" applyFont="1" applyFill="1" applyAlignment="1">
      <alignment horizontal="right"/>
    </xf>
    <xf numFmtId="164" fontId="14" fillId="2" borderId="0" xfId="0" applyNumberFormat="1" applyFont="1" applyFill="1" applyAlignment="1">
      <alignment horizontal="right"/>
    </xf>
    <xf numFmtId="0" fontId="14" fillId="2" borderId="43" xfId="0" applyFont="1" applyFill="1" applyBorder="1"/>
    <xf numFmtId="0" fontId="16" fillId="2" borderId="0" xfId="0" applyFont="1" applyFill="1" applyAlignment="1">
      <alignment horizontal="center" vertical="center"/>
    </xf>
    <xf numFmtId="0" fontId="29" fillId="2" borderId="0" xfId="0" applyFont="1" applyFill="1" applyAlignment="1">
      <alignment horizontal="center" vertical="center"/>
    </xf>
    <xf numFmtId="0" fontId="14" fillId="2" borderId="42" xfId="0" applyFont="1" applyFill="1" applyBorder="1"/>
    <xf numFmtId="164" fontId="14" fillId="2" borderId="42" xfId="0" applyNumberFormat="1" applyFont="1" applyFill="1" applyBorder="1" applyAlignment="1">
      <alignment horizontal="right"/>
    </xf>
    <xf numFmtId="0" fontId="34" fillId="2" borderId="0" xfId="0" applyFont="1" applyFill="1" applyProtection="1">
      <protection hidden="1"/>
    </xf>
    <xf numFmtId="0" fontId="44" fillId="2" borderId="0" xfId="0" applyFont="1" applyFill="1" applyAlignment="1">
      <alignment horizontal="left" vertical="center" wrapText="1"/>
    </xf>
    <xf numFmtId="0" fontId="14" fillId="2" borderId="8" xfId="0" applyFont="1" applyFill="1" applyBorder="1"/>
    <xf numFmtId="0" fontId="46" fillId="2" borderId="0" xfId="2" applyFont="1" applyFill="1" applyBorder="1" applyAlignment="1">
      <alignment horizontal="centerContinuous"/>
    </xf>
    <xf numFmtId="164" fontId="14" fillId="2" borderId="0" xfId="0" applyNumberFormat="1" applyFont="1" applyFill="1"/>
    <xf numFmtId="0" fontId="14" fillId="2" borderId="7" xfId="0" applyFont="1" applyFill="1" applyBorder="1"/>
    <xf numFmtId="0" fontId="14" fillId="2" borderId="25" xfId="0" applyFont="1" applyFill="1" applyBorder="1"/>
    <xf numFmtId="0" fontId="14" fillId="2" borderId="0" xfId="0" applyFont="1" applyFill="1" applyAlignment="1">
      <alignment horizontal="center"/>
    </xf>
    <xf numFmtId="0" fontId="20" fillId="2" borderId="0" xfId="0" applyFont="1" applyFill="1"/>
    <xf numFmtId="0" fontId="48" fillId="2" borderId="0" xfId="1" applyFont="1" applyFill="1" applyBorder="1" applyAlignment="1" applyProtection="1">
      <alignment vertical="top" wrapText="1"/>
    </xf>
    <xf numFmtId="0" fontId="45" fillId="2" borderId="0" xfId="2" applyFont="1" applyFill="1" applyBorder="1" applyAlignment="1">
      <alignment horizontal="left" vertical="center" indent="1"/>
    </xf>
    <xf numFmtId="49" fontId="20" fillId="2" borderId="0" xfId="0" applyNumberFormat="1" applyFont="1" applyFill="1" applyAlignment="1" applyProtection="1">
      <alignment horizontal="left" vertical="center" indent="1"/>
      <protection locked="0"/>
    </xf>
    <xf numFmtId="0" fontId="16" fillId="2" borderId="0" xfId="0" applyFont="1" applyFill="1" applyAlignment="1">
      <alignment horizontal="left"/>
    </xf>
    <xf numFmtId="0" fontId="27" fillId="2" borderId="0" xfId="0" applyFont="1" applyFill="1" applyAlignment="1">
      <alignment wrapText="1"/>
    </xf>
    <xf numFmtId="0" fontId="52" fillId="2" borderId="0" xfId="0" applyFont="1" applyFill="1"/>
    <xf numFmtId="0" fontId="53" fillId="2" borderId="0" xfId="0" applyFont="1" applyFill="1"/>
    <xf numFmtId="0" fontId="28" fillId="0" borderId="23" xfId="0" applyFont="1" applyBorder="1" applyAlignment="1">
      <alignment horizontal="left" vertical="top" wrapText="1"/>
    </xf>
    <xf numFmtId="164" fontId="37" fillId="2" borderId="0" xfId="0" applyNumberFormat="1" applyFont="1" applyFill="1" applyAlignment="1">
      <alignment horizontal="center"/>
    </xf>
    <xf numFmtId="0" fontId="34" fillId="2" borderId="0" xfId="0" applyFont="1" applyFill="1" applyAlignment="1">
      <alignment wrapText="1"/>
    </xf>
    <xf numFmtId="0" fontId="14" fillId="2" borderId="0" xfId="0" applyFont="1" applyFill="1" applyAlignment="1">
      <alignment wrapText="1"/>
    </xf>
    <xf numFmtId="164" fontId="28" fillId="0" borderId="2" xfId="0" applyNumberFormat="1" applyFont="1" applyBorder="1" applyAlignment="1">
      <alignment horizontal="left" vertical="top" wrapText="1"/>
    </xf>
    <xf numFmtId="164" fontId="28" fillId="0" borderId="2" xfId="0" applyNumberFormat="1" applyFont="1" applyBorder="1" applyAlignment="1">
      <alignment vertical="top" wrapText="1"/>
    </xf>
    <xf numFmtId="0" fontId="28" fillId="0" borderId="2" xfId="0" applyFont="1" applyBorder="1" applyAlignment="1">
      <alignment horizontal="left" vertical="top" wrapText="1"/>
    </xf>
    <xf numFmtId="0" fontId="14" fillId="2" borderId="1" xfId="3" applyFont="1" applyFill="1" applyAlignment="1">
      <alignment horizontal="center" vertical="center" wrapText="1"/>
    </xf>
    <xf numFmtId="0" fontId="28" fillId="0" borderId="24" xfId="0" applyFont="1" applyBorder="1" applyAlignment="1">
      <alignment horizontal="left" vertical="top" wrapText="1"/>
    </xf>
    <xf numFmtId="164" fontId="28" fillId="0" borderId="24" xfId="0" applyNumberFormat="1" applyFont="1" applyBorder="1" applyAlignment="1">
      <alignment horizontal="left" vertical="top" wrapText="1"/>
    </xf>
    <xf numFmtId="164" fontId="28" fillId="0" borderId="24" xfId="0" applyNumberFormat="1" applyFont="1" applyBorder="1" applyAlignment="1">
      <alignment vertical="top" wrapText="1"/>
    </xf>
    <xf numFmtId="49" fontId="51" fillId="2" borderId="0" xfId="0" applyNumberFormat="1" applyFont="1" applyFill="1"/>
    <xf numFmtId="0" fontId="51" fillId="2" borderId="0" xfId="0" applyFont="1" applyFill="1"/>
    <xf numFmtId="0" fontId="20" fillId="2" borderId="0" xfId="0" applyFont="1" applyFill="1" applyAlignment="1">
      <alignment horizontal="left" vertical="center"/>
    </xf>
    <xf numFmtId="0" fontId="20" fillId="2" borderId="0" xfId="0" applyFont="1" applyFill="1" applyAlignment="1">
      <alignment horizontal="center" vertical="center"/>
    </xf>
    <xf numFmtId="0" fontId="20" fillId="0" borderId="3" xfId="0" applyFont="1" applyBorder="1" applyAlignment="1">
      <alignment horizontal="left" vertical="top" wrapText="1"/>
    </xf>
    <xf numFmtId="164" fontId="20" fillId="0" borderId="41" xfId="0" applyNumberFormat="1" applyFont="1" applyBorder="1" applyAlignment="1">
      <alignment vertical="top" wrapText="1"/>
    </xf>
    <xf numFmtId="164" fontId="20" fillId="0" borderId="3" xfId="0" applyNumberFormat="1" applyFont="1" applyBorder="1" applyAlignment="1">
      <alignment horizontal="left" vertical="top" wrapText="1"/>
    </xf>
    <xf numFmtId="164" fontId="20" fillId="2" borderId="0" xfId="0" applyNumberFormat="1" applyFont="1" applyFill="1" applyAlignment="1">
      <alignment horizontal="center" vertical="center"/>
    </xf>
    <xf numFmtId="164" fontId="20" fillId="0" borderId="2" xfId="0" applyNumberFormat="1" applyFont="1" applyBorder="1" applyAlignment="1">
      <alignment horizontal="left" vertical="top" wrapText="1"/>
    </xf>
    <xf numFmtId="0" fontId="20" fillId="0" borderId="2" xfId="0" applyFont="1" applyBorder="1" applyAlignment="1">
      <alignment horizontal="left" vertical="top" wrapText="1"/>
    </xf>
    <xf numFmtId="0" fontId="14" fillId="2" borderId="18" xfId="3" applyFont="1" applyFill="1" applyBorder="1" applyAlignment="1">
      <alignment horizontal="center" vertical="center" wrapText="1"/>
    </xf>
    <xf numFmtId="0" fontId="28" fillId="0" borderId="40" xfId="0" applyFont="1" applyBorder="1" applyAlignment="1">
      <alignment horizontal="left" vertical="top" wrapText="1"/>
    </xf>
    <xf numFmtId="164" fontId="28" fillId="0" borderId="40" xfId="0" applyNumberFormat="1" applyFont="1" applyBorder="1" applyAlignment="1">
      <alignment horizontal="left" vertical="top" wrapText="1"/>
    </xf>
    <xf numFmtId="164" fontId="28" fillId="0" borderId="40" xfId="0" applyNumberFormat="1" applyFont="1" applyBorder="1" applyAlignment="1">
      <alignment vertical="top" wrapText="1"/>
    </xf>
    <xf numFmtId="0" fontId="28" fillId="0" borderId="3" xfId="0" applyFont="1" applyBorder="1" applyAlignment="1">
      <alignment horizontal="left" vertical="top" wrapText="1"/>
    </xf>
    <xf numFmtId="164" fontId="28" fillId="0" borderId="3" xfId="0" applyNumberFormat="1" applyFont="1" applyBorder="1" applyAlignment="1">
      <alignment horizontal="left" vertical="top" wrapText="1"/>
    </xf>
    <xf numFmtId="0" fontId="58" fillId="2" borderId="0" xfId="0" applyFont="1" applyFill="1"/>
    <xf numFmtId="164" fontId="59" fillId="2" borderId="0" xfId="0" applyNumberFormat="1" applyFont="1" applyFill="1" applyAlignment="1">
      <alignment horizontal="center"/>
    </xf>
    <xf numFmtId="0" fontId="60" fillId="2" borderId="0" xfId="0" applyFont="1" applyFill="1" applyAlignment="1">
      <alignment horizontal="center" vertical="center"/>
    </xf>
    <xf numFmtId="0" fontId="61" fillId="2" borderId="0" xfId="0" applyFont="1" applyFill="1"/>
    <xf numFmtId="0" fontId="28" fillId="0" borderId="2" xfId="0" applyFont="1" applyBorder="1" applyAlignment="1">
      <alignment vertical="top" wrapText="1"/>
    </xf>
    <xf numFmtId="164" fontId="28" fillId="0" borderId="2" xfId="0" applyNumberFormat="1" applyFont="1" applyBorder="1" applyAlignment="1">
      <alignment horizontal="left" vertical="top"/>
    </xf>
    <xf numFmtId="0" fontId="14" fillId="2" borderId="0" xfId="0" applyFont="1" applyFill="1" applyAlignment="1">
      <alignment horizontal="center" wrapText="1"/>
    </xf>
    <xf numFmtId="0" fontId="21" fillId="2" borderId="0" xfId="0" applyFont="1" applyFill="1" applyAlignment="1">
      <alignment horizontal="left" vertical="top"/>
    </xf>
    <xf numFmtId="0" fontId="21" fillId="2" borderId="0" xfId="0" applyFont="1" applyFill="1" applyAlignment="1">
      <alignment vertical="top"/>
    </xf>
    <xf numFmtId="0" fontId="62" fillId="2" borderId="0" xfId="0" applyFont="1" applyFill="1"/>
    <xf numFmtId="0" fontId="28" fillId="2" borderId="0" xfId="1" applyFont="1" applyFill="1" applyAlignment="1" applyProtection="1"/>
    <xf numFmtId="0" fontId="14" fillId="2" borderId="0" xfId="0" applyFont="1" applyFill="1" applyAlignment="1">
      <alignment vertical="top"/>
    </xf>
    <xf numFmtId="0" fontId="14" fillId="2" borderId="0" xfId="0" applyFont="1" applyFill="1" applyAlignment="1">
      <alignment horizontal="left" vertical="top"/>
    </xf>
    <xf numFmtId="0" fontId="64" fillId="2" borderId="0" xfId="0" applyFont="1" applyFill="1"/>
    <xf numFmtId="0" fontId="32" fillId="0" borderId="27" xfId="0" applyFont="1" applyBorder="1" applyAlignment="1">
      <alignment vertical="top" wrapText="1"/>
    </xf>
    <xf numFmtId="164" fontId="39" fillId="2" borderId="0" xfId="0" applyNumberFormat="1" applyFont="1" applyFill="1" applyAlignment="1">
      <alignment horizontal="center" vertical="center"/>
    </xf>
    <xf numFmtId="164" fontId="22" fillId="2" borderId="0" xfId="0" applyNumberFormat="1" applyFont="1" applyFill="1"/>
    <xf numFmtId="0" fontId="35" fillId="2" borderId="0" xfId="0" applyFont="1" applyFill="1" applyAlignment="1">
      <alignment horizontal="left" vertical="center"/>
    </xf>
    <xf numFmtId="0" fontId="65" fillId="2" borderId="0" xfId="0" applyFont="1" applyFill="1" applyAlignment="1">
      <alignment vertical="center" wrapText="1"/>
    </xf>
    <xf numFmtId="0" fontId="25" fillId="2" borderId="0" xfId="0" applyFont="1" applyFill="1" applyAlignment="1">
      <alignment wrapText="1"/>
    </xf>
    <xf numFmtId="0" fontId="32" fillId="0" borderId="28" xfId="0" applyFont="1" applyBorder="1" applyAlignment="1">
      <alignment vertical="top" wrapText="1"/>
    </xf>
    <xf numFmtId="164" fontId="37" fillId="2" borderId="0" xfId="0" applyNumberFormat="1" applyFont="1" applyFill="1" applyAlignment="1">
      <alignment horizontal="center" vertical="center"/>
    </xf>
    <xf numFmtId="9" fontId="65" fillId="2" borderId="0" xfId="0" applyNumberFormat="1" applyFont="1" applyFill="1" applyAlignment="1">
      <alignment horizontal="center" vertical="center"/>
    </xf>
    <xf numFmtId="0" fontId="32" fillId="0" borderId="51" xfId="0" applyFont="1" applyBorder="1" applyAlignment="1">
      <alignment vertical="top" wrapText="1"/>
    </xf>
    <xf numFmtId="0" fontId="32" fillId="0" borderId="29" xfId="0" applyFont="1" applyBorder="1" applyAlignment="1">
      <alignment vertical="top" wrapText="1"/>
    </xf>
    <xf numFmtId="0" fontId="32" fillId="0" borderId="50" xfId="0" applyFont="1" applyBorder="1" applyAlignment="1">
      <alignment vertical="top" wrapText="1"/>
    </xf>
    <xf numFmtId="0" fontId="67" fillId="2" borderId="0" xfId="0" applyFont="1" applyFill="1" applyAlignment="1">
      <alignment horizontal="center" vertical="center"/>
    </xf>
    <xf numFmtId="0" fontId="68" fillId="2" borderId="0" xfId="0" applyFont="1" applyFill="1"/>
    <xf numFmtId="0" fontId="32" fillId="0" borderId="26" xfId="0" applyFont="1" applyBorder="1" applyAlignment="1">
      <alignment vertical="top"/>
    </xf>
    <xf numFmtId="164" fontId="59" fillId="2" borderId="0" xfId="0" applyNumberFormat="1" applyFont="1" applyFill="1" applyAlignment="1">
      <alignment horizontal="center" vertical="center"/>
    </xf>
    <xf numFmtId="0" fontId="32" fillId="0" borderId="26" xfId="0" applyFont="1" applyBorder="1" applyAlignment="1">
      <alignment vertical="top" wrapText="1"/>
    </xf>
    <xf numFmtId="9" fontId="69" fillId="2" borderId="0" xfId="0" applyNumberFormat="1" applyFont="1" applyFill="1" applyAlignment="1">
      <alignment horizontal="center" vertical="center"/>
    </xf>
    <xf numFmtId="0" fontId="20" fillId="2" borderId="0" xfId="0" applyFont="1" applyFill="1" applyAlignment="1">
      <alignment horizontal="center" vertical="top"/>
    </xf>
    <xf numFmtId="0" fontId="25" fillId="2" borderId="0" xfId="0" applyFont="1" applyFill="1" applyAlignment="1">
      <alignment vertical="top"/>
    </xf>
    <xf numFmtId="0" fontId="34" fillId="2" borderId="0" xfId="0" applyFont="1" applyFill="1" applyAlignment="1">
      <alignment vertical="top"/>
    </xf>
    <xf numFmtId="0" fontId="14" fillId="2" borderId="0" xfId="0" applyFont="1" applyFill="1" applyAlignment="1">
      <alignment horizontal="center" vertical="center"/>
    </xf>
    <xf numFmtId="0" fontId="66" fillId="6" borderId="0" xfId="0" applyFont="1" applyFill="1" applyAlignment="1">
      <alignment vertical="top" wrapText="1"/>
    </xf>
    <xf numFmtId="0" fontId="21" fillId="2" borderId="13" xfId="0" applyFont="1" applyFill="1" applyBorder="1"/>
    <xf numFmtId="0" fontId="63" fillId="2" borderId="0" xfId="0" applyFont="1" applyFill="1" applyAlignment="1">
      <alignment horizontal="left" vertical="top" wrapText="1"/>
    </xf>
    <xf numFmtId="0" fontId="21" fillId="2" borderId="8" xfId="0" applyFont="1" applyFill="1" applyBorder="1"/>
    <xf numFmtId="0" fontId="21" fillId="2" borderId="0" xfId="0" applyFont="1" applyFill="1" applyAlignment="1">
      <alignment vertical="top" wrapText="1"/>
    </xf>
    <xf numFmtId="0" fontId="21" fillId="2" borderId="0" xfId="0" applyFont="1" applyFill="1" applyAlignment="1">
      <alignment horizontal="left" vertical="top" wrapText="1"/>
    </xf>
    <xf numFmtId="0" fontId="22" fillId="2" borderId="0" xfId="0" applyFont="1" applyFill="1" applyAlignment="1">
      <alignment horizontal="left" vertical="top" wrapText="1"/>
    </xf>
    <xf numFmtId="0" fontId="14" fillId="0" borderId="0" xfId="3" applyFont="1" applyFill="1" applyBorder="1">
      <alignment horizontal="center" vertical="top" wrapText="1"/>
    </xf>
    <xf numFmtId="0" fontId="25" fillId="2" borderId="8" xfId="0" applyFont="1" applyFill="1" applyBorder="1" applyAlignment="1">
      <alignment vertical="center"/>
    </xf>
    <xf numFmtId="0" fontId="32" fillId="0" borderId="26" xfId="0" applyFont="1" applyBorder="1" applyAlignment="1">
      <alignment horizontal="left" vertical="top" wrapText="1"/>
    </xf>
    <xf numFmtId="0" fontId="32" fillId="0" borderId="6" xfId="0" applyFont="1" applyBorder="1" applyAlignment="1">
      <alignment vertical="top" wrapText="1"/>
    </xf>
    <xf numFmtId="0" fontId="14" fillId="2" borderId="4" xfId="0" applyFont="1" applyFill="1" applyBorder="1" applyAlignment="1">
      <alignment wrapText="1"/>
    </xf>
    <xf numFmtId="0" fontId="14" fillId="2" borderId="5" xfId="0" applyFont="1" applyFill="1" applyBorder="1" applyAlignment="1">
      <alignment wrapText="1"/>
    </xf>
    <xf numFmtId="0" fontId="14" fillId="2" borderId="6" xfId="0" applyFont="1" applyFill="1" applyBorder="1" applyAlignment="1">
      <alignment wrapText="1"/>
    </xf>
    <xf numFmtId="0" fontId="28" fillId="0" borderId="46" xfId="0" applyFont="1" applyBorder="1" applyAlignment="1">
      <alignment horizontal="left" vertical="top" wrapText="1"/>
    </xf>
    <xf numFmtId="164" fontId="28" fillId="0" borderId="46" xfId="0" applyNumberFormat="1" applyFont="1" applyBorder="1" applyAlignment="1">
      <alignment horizontal="left" vertical="top" wrapText="1"/>
    </xf>
    <xf numFmtId="164" fontId="28" fillId="0" borderId="46" xfId="0" applyNumberFormat="1" applyFont="1" applyBorder="1" applyAlignment="1">
      <alignment vertical="top" wrapText="1"/>
    </xf>
    <xf numFmtId="0" fontId="14" fillId="2" borderId="15" xfId="3" applyFont="1" applyFill="1" applyBorder="1" applyAlignment="1">
      <alignment horizontal="center" vertical="center" wrapText="1"/>
    </xf>
    <xf numFmtId="164" fontId="20" fillId="0" borderId="3" xfId="0" applyNumberFormat="1" applyFont="1" applyBorder="1" applyAlignment="1">
      <alignment vertical="top" wrapText="1"/>
    </xf>
    <xf numFmtId="0" fontId="32" fillId="0" borderId="52" xfId="0" applyFont="1" applyBorder="1" applyAlignment="1">
      <alignment vertical="top" wrapText="1"/>
    </xf>
    <xf numFmtId="0" fontId="14" fillId="0" borderId="0" xfId="0" applyFont="1" applyAlignment="1">
      <alignment horizontal="left"/>
    </xf>
    <xf numFmtId="164" fontId="14" fillId="0" borderId="0" xfId="0" applyNumberFormat="1" applyFont="1" applyAlignment="1">
      <alignment horizontal="left"/>
    </xf>
    <xf numFmtId="2" fontId="14" fillId="0" borderId="0" xfId="0" applyNumberFormat="1" applyFont="1" applyAlignment="1">
      <alignment horizontal="left"/>
    </xf>
    <xf numFmtId="0" fontId="28" fillId="0" borderId="54" xfId="0" applyFont="1" applyBorder="1" applyAlignment="1">
      <alignment horizontal="left" vertical="top" wrapText="1"/>
    </xf>
    <xf numFmtId="164" fontId="28" fillId="0" borderId="54" xfId="0" applyNumberFormat="1" applyFont="1" applyBorder="1" applyAlignment="1">
      <alignment horizontal="left" vertical="top" wrapText="1"/>
    </xf>
    <xf numFmtId="164" fontId="28" fillId="0" borderId="54" xfId="0" applyNumberFormat="1" applyFont="1" applyBorder="1" applyAlignment="1">
      <alignment vertical="top" wrapText="1"/>
    </xf>
    <xf numFmtId="164" fontId="28" fillId="0" borderId="48" xfId="0" applyNumberFormat="1" applyFont="1" applyBorder="1" applyAlignment="1">
      <alignment vertical="top" wrapText="1"/>
    </xf>
    <xf numFmtId="164" fontId="28" fillId="0" borderId="3" xfId="0" applyNumberFormat="1" applyFont="1" applyBorder="1" applyAlignment="1">
      <alignment vertical="top" wrapText="1"/>
    </xf>
    <xf numFmtId="0" fontId="32" fillId="0" borderId="56" xfId="0" applyFont="1" applyBorder="1" applyAlignment="1">
      <alignment vertical="top" wrapText="1"/>
    </xf>
    <xf numFmtId="0" fontId="32" fillId="0" borderId="47" xfId="0" applyFont="1" applyBorder="1" applyAlignment="1">
      <alignment vertical="top" wrapText="1"/>
    </xf>
    <xf numFmtId="0" fontId="28" fillId="0" borderId="48" xfId="0" applyFont="1" applyBorder="1" applyAlignment="1">
      <alignment horizontal="left" vertical="top" wrapText="1"/>
    </xf>
    <xf numFmtId="164" fontId="28" fillId="0" borderId="48" xfId="0" applyNumberFormat="1" applyFont="1" applyBorder="1" applyAlignment="1">
      <alignment horizontal="left" vertical="top" wrapText="1"/>
    </xf>
    <xf numFmtId="164" fontId="16" fillId="2" borderId="4" xfId="0" applyNumberFormat="1" applyFont="1" applyFill="1" applyBorder="1" applyAlignment="1">
      <alignment horizontal="right"/>
    </xf>
    <xf numFmtId="164" fontId="16" fillId="2" borderId="5" xfId="0" applyNumberFormat="1" applyFont="1" applyFill="1" applyBorder="1" applyAlignment="1">
      <alignment horizontal="right"/>
    </xf>
    <xf numFmtId="0" fontId="14" fillId="2" borderId="5" xfId="0" applyFont="1" applyFill="1" applyBorder="1"/>
    <xf numFmtId="0" fontId="16" fillId="2" borderId="5" xfId="0" applyFont="1" applyFill="1" applyBorder="1" applyAlignment="1">
      <alignment horizontal="right"/>
    </xf>
    <xf numFmtId="0" fontId="14" fillId="2" borderId="6" xfId="0" applyFont="1" applyFill="1" applyBorder="1"/>
    <xf numFmtId="0" fontId="16" fillId="2" borderId="0" xfId="0" applyFont="1" applyFill="1" applyAlignment="1">
      <alignment horizontal="right"/>
    </xf>
    <xf numFmtId="164" fontId="32" fillId="8" borderId="23" xfId="0" applyNumberFormat="1" applyFont="1" applyFill="1" applyBorder="1" applyAlignment="1">
      <alignment horizontal="center" vertical="center"/>
    </xf>
    <xf numFmtId="164" fontId="32" fillId="8" borderId="2" xfId="0" applyNumberFormat="1" applyFont="1" applyFill="1" applyBorder="1" applyAlignment="1">
      <alignment horizontal="center" vertical="center"/>
    </xf>
    <xf numFmtId="164" fontId="32" fillId="8" borderId="3" xfId="0" applyNumberFormat="1" applyFont="1" applyFill="1" applyBorder="1" applyAlignment="1">
      <alignment horizontal="center" vertical="center"/>
    </xf>
    <xf numFmtId="164" fontId="19" fillId="8" borderId="24" xfId="0" applyNumberFormat="1" applyFont="1" applyFill="1" applyBorder="1" applyAlignment="1">
      <alignment horizontal="center" vertical="center"/>
    </xf>
    <xf numFmtId="164" fontId="19" fillId="8" borderId="2" xfId="0" applyNumberFormat="1" applyFont="1" applyFill="1" applyBorder="1" applyAlignment="1">
      <alignment horizontal="center" vertical="center"/>
    </xf>
    <xf numFmtId="164" fontId="32" fillId="8" borderId="48" xfId="0" applyNumberFormat="1" applyFont="1" applyFill="1" applyBorder="1" applyAlignment="1">
      <alignment horizontal="center" vertical="center"/>
    </xf>
    <xf numFmtId="164" fontId="32" fillId="8" borderId="40" xfId="0" applyNumberFormat="1" applyFont="1" applyFill="1" applyBorder="1" applyAlignment="1">
      <alignment horizontal="center" vertical="center"/>
    </xf>
    <xf numFmtId="164" fontId="32" fillId="8" borderId="46" xfId="0" applyNumberFormat="1" applyFont="1" applyFill="1" applyBorder="1" applyAlignment="1">
      <alignment horizontal="center" vertical="center"/>
    </xf>
    <xf numFmtId="164" fontId="32" fillId="8" borderId="24" xfId="0" applyNumberFormat="1" applyFont="1" applyFill="1" applyBorder="1" applyAlignment="1">
      <alignment horizontal="center" vertical="center"/>
    </xf>
    <xf numFmtId="164" fontId="32" fillId="8" borderId="2" xfId="0" applyNumberFormat="1" applyFont="1" applyFill="1" applyBorder="1" applyAlignment="1">
      <alignment horizontal="center" vertical="center" wrapText="1"/>
    </xf>
    <xf numFmtId="164" fontId="32" fillId="8" borderId="46" xfId="0" applyNumberFormat="1" applyFont="1" applyFill="1" applyBorder="1" applyAlignment="1">
      <alignment horizontal="center" vertical="center" wrapText="1"/>
    </xf>
    <xf numFmtId="164" fontId="32" fillId="8" borderId="23" xfId="0" applyNumberFormat="1" applyFont="1" applyFill="1" applyBorder="1" applyAlignment="1">
      <alignment horizontal="center" vertical="center" wrapText="1"/>
    </xf>
    <xf numFmtId="164" fontId="32" fillId="8" borderId="3" xfId="0" applyNumberFormat="1" applyFont="1" applyFill="1" applyBorder="1" applyAlignment="1">
      <alignment horizontal="center" vertical="center" wrapText="1"/>
    </xf>
    <xf numFmtId="164" fontId="32" fillId="8" borderId="24" xfId="0" applyNumberFormat="1" applyFont="1" applyFill="1" applyBorder="1" applyAlignment="1">
      <alignment horizontal="center" vertical="center" wrapText="1"/>
    </xf>
    <xf numFmtId="164" fontId="32" fillId="8" borderId="34" xfId="0" applyNumberFormat="1" applyFont="1" applyFill="1" applyBorder="1" applyAlignment="1">
      <alignment horizontal="center" vertical="center" wrapText="1"/>
    </xf>
    <xf numFmtId="164" fontId="32" fillId="8" borderId="31" xfId="0" applyNumberFormat="1" applyFont="1" applyFill="1" applyBorder="1" applyAlignment="1">
      <alignment horizontal="center" vertical="center" wrapText="1"/>
    </xf>
    <xf numFmtId="164" fontId="32" fillId="8" borderId="4" xfId="0" applyNumberFormat="1" applyFont="1" applyFill="1" applyBorder="1" applyAlignment="1">
      <alignment horizontal="center" vertical="center" wrapText="1"/>
    </xf>
    <xf numFmtId="164" fontId="32" fillId="8" borderId="32" xfId="0" applyNumberFormat="1" applyFont="1" applyFill="1" applyBorder="1" applyAlignment="1">
      <alignment horizontal="center" vertical="center" wrapText="1"/>
    </xf>
    <xf numFmtId="164" fontId="32" fillId="8" borderId="7" xfId="0" applyNumberFormat="1" applyFont="1" applyFill="1" applyBorder="1" applyAlignment="1">
      <alignment horizontal="center" vertical="center" wrapText="1"/>
    </xf>
    <xf numFmtId="164" fontId="32" fillId="8" borderId="53" xfId="0" applyNumberFormat="1" applyFont="1" applyFill="1" applyBorder="1" applyAlignment="1">
      <alignment horizontal="center" vertical="center" wrapText="1"/>
    </xf>
    <xf numFmtId="164" fontId="32" fillId="7" borderId="12" xfId="0" applyNumberFormat="1" applyFont="1" applyFill="1" applyBorder="1" applyAlignment="1">
      <alignment horizontal="center" vertical="center"/>
    </xf>
    <xf numFmtId="164" fontId="32" fillId="7" borderId="44" xfId="0" applyNumberFormat="1" applyFont="1" applyFill="1" applyBorder="1" applyAlignment="1">
      <alignment horizontal="center" vertical="center"/>
    </xf>
    <xf numFmtId="164" fontId="32" fillId="7" borderId="35" xfId="0" applyNumberFormat="1" applyFont="1" applyFill="1" applyBorder="1" applyAlignment="1">
      <alignment horizontal="center" vertical="center"/>
    </xf>
    <xf numFmtId="164" fontId="32" fillId="7" borderId="45" xfId="0" applyNumberFormat="1" applyFont="1" applyFill="1" applyBorder="1" applyAlignment="1">
      <alignment horizontal="center" vertical="center"/>
    </xf>
    <xf numFmtId="164" fontId="32" fillId="7" borderId="20" xfId="0" applyNumberFormat="1" applyFont="1" applyFill="1" applyBorder="1" applyAlignment="1">
      <alignment horizontal="center" vertical="center"/>
    </xf>
    <xf numFmtId="164" fontId="32" fillId="7" borderId="57" xfId="0" applyNumberFormat="1" applyFont="1" applyFill="1" applyBorder="1" applyAlignment="1">
      <alignment horizontal="center" vertical="center"/>
    </xf>
    <xf numFmtId="164" fontId="32" fillId="7" borderId="58" xfId="0" applyNumberFormat="1" applyFont="1" applyFill="1" applyBorder="1" applyAlignment="1">
      <alignment horizontal="center" vertical="center"/>
    </xf>
    <xf numFmtId="164" fontId="19" fillId="7" borderId="45" xfId="0" applyNumberFormat="1" applyFont="1" applyFill="1" applyBorder="1" applyAlignment="1">
      <alignment horizontal="center" vertical="center"/>
    </xf>
    <xf numFmtId="164" fontId="19" fillId="7" borderId="35" xfId="0" applyNumberFormat="1" applyFont="1" applyFill="1" applyBorder="1" applyAlignment="1">
      <alignment horizontal="center" vertical="center"/>
    </xf>
    <xf numFmtId="164" fontId="19" fillId="8" borderId="4" xfId="0" applyNumberFormat="1" applyFont="1" applyFill="1" applyBorder="1" applyAlignment="1">
      <alignment horizontal="center" vertical="center" wrapText="1"/>
    </xf>
    <xf numFmtId="164" fontId="32" fillId="8" borderId="55" xfId="0" applyNumberFormat="1" applyFont="1" applyFill="1" applyBorder="1" applyAlignment="1">
      <alignment horizontal="center" vertical="center" wrapText="1"/>
    </xf>
    <xf numFmtId="164" fontId="32" fillId="8" borderId="49" xfId="0" applyNumberFormat="1" applyFont="1" applyFill="1" applyBorder="1" applyAlignment="1">
      <alignment horizontal="center" vertical="center" wrapText="1"/>
    </xf>
    <xf numFmtId="164" fontId="32" fillId="8" borderId="31" xfId="0" applyNumberFormat="1" applyFont="1" applyFill="1" applyBorder="1" applyAlignment="1">
      <alignment horizontal="center" vertical="center"/>
    </xf>
    <xf numFmtId="164" fontId="32" fillId="8" borderId="54" xfId="0" applyNumberFormat="1" applyFont="1" applyFill="1" applyBorder="1" applyAlignment="1">
      <alignment horizontal="center" vertical="center" wrapText="1"/>
    </xf>
    <xf numFmtId="164" fontId="32" fillId="8" borderId="48" xfId="0" applyNumberFormat="1" applyFont="1" applyFill="1" applyBorder="1" applyAlignment="1">
      <alignment horizontal="center" vertical="center" wrapText="1"/>
    </xf>
    <xf numFmtId="164" fontId="32" fillId="8" borderId="40" xfId="0" applyNumberFormat="1" applyFont="1" applyFill="1" applyBorder="1" applyAlignment="1">
      <alignment horizontal="center" vertical="center" wrapText="1"/>
    </xf>
    <xf numFmtId="164" fontId="19" fillId="8" borderId="3" xfId="0" applyNumberFormat="1" applyFont="1" applyFill="1" applyBorder="1" applyAlignment="1">
      <alignment horizontal="center" vertical="center" wrapText="1"/>
    </xf>
    <xf numFmtId="164" fontId="19" fillId="8" borderId="3" xfId="0" applyNumberFormat="1" applyFont="1" applyFill="1" applyBorder="1" applyAlignment="1">
      <alignment horizontal="center" vertical="center"/>
    </xf>
    <xf numFmtId="164" fontId="32" fillId="8" borderId="54" xfId="0" applyNumberFormat="1" applyFont="1" applyFill="1" applyBorder="1" applyAlignment="1">
      <alignment horizontal="center" vertical="center"/>
    </xf>
    <xf numFmtId="0" fontId="22" fillId="8" borderId="15" xfId="0" applyFont="1" applyFill="1" applyBorder="1" applyAlignment="1">
      <alignment horizontal="center" vertical="center" wrapText="1"/>
    </xf>
    <xf numFmtId="0" fontId="72" fillId="2" borderId="0" xfId="0" applyFont="1" applyFill="1" applyAlignment="1">
      <alignment vertical="center"/>
    </xf>
    <xf numFmtId="0" fontId="29" fillId="9" borderId="9" xfId="0" applyFont="1" applyFill="1" applyBorder="1" applyAlignment="1">
      <alignment horizontal="center" vertical="center" wrapText="1"/>
    </xf>
    <xf numFmtId="49" fontId="28" fillId="2" borderId="0" xfId="0" applyNumberFormat="1" applyFont="1" applyFill="1" applyAlignment="1" applyProtection="1">
      <alignment horizontal="left" vertical="center" indent="1"/>
      <protection locked="0"/>
    </xf>
    <xf numFmtId="164" fontId="14" fillId="2" borderId="42" xfId="0" applyNumberFormat="1" applyFont="1" applyFill="1" applyBorder="1"/>
    <xf numFmtId="2" fontId="3" fillId="2" borderId="0" xfId="0" applyNumberFormat="1" applyFont="1" applyFill="1"/>
    <xf numFmtId="2" fontId="0" fillId="2" borderId="0" xfId="0" applyNumberFormat="1" applyFill="1"/>
    <xf numFmtId="0" fontId="74" fillId="2" borderId="9" xfId="0" applyFont="1" applyFill="1" applyBorder="1" applyAlignment="1">
      <alignment horizontal="center" vertical="center" wrapText="1"/>
    </xf>
    <xf numFmtId="0" fontId="0" fillId="0" borderId="0" xfId="0" applyAlignment="1">
      <alignment vertical="center"/>
    </xf>
    <xf numFmtId="0" fontId="0" fillId="0" borderId="0" xfId="0" applyProtection="1">
      <protection locked="0"/>
    </xf>
    <xf numFmtId="0" fontId="28" fillId="0" borderId="0" xfId="0" applyFont="1" applyAlignment="1" applyProtection="1">
      <alignment horizontal="center" vertical="center" wrapText="1"/>
      <protection locked="0"/>
    </xf>
    <xf numFmtId="0" fontId="28" fillId="0" borderId="0" xfId="0" applyFont="1" applyAlignment="1">
      <alignment vertical="center" wrapText="1"/>
    </xf>
    <xf numFmtId="9" fontId="14" fillId="0" borderId="0" xfId="0" applyNumberFormat="1" applyFont="1" applyAlignment="1">
      <alignment horizontal="left"/>
    </xf>
    <xf numFmtId="0" fontId="75" fillId="0" borderId="0" xfId="0" applyFont="1" applyAlignment="1">
      <alignment horizontal="center" vertical="center"/>
    </xf>
    <xf numFmtId="0" fontId="28" fillId="0" borderId="0" xfId="0" applyFont="1" applyAlignment="1">
      <alignment horizontal="center" vertical="center" wrapText="1"/>
    </xf>
    <xf numFmtId="0" fontId="14" fillId="2" borderId="0" xfId="0" applyFont="1" applyFill="1" applyAlignment="1">
      <alignment vertical="top" wrapText="1"/>
    </xf>
    <xf numFmtId="0" fontId="15" fillId="0" borderId="0" xfId="0" applyFont="1" applyAlignment="1">
      <alignment vertical="center"/>
    </xf>
    <xf numFmtId="0" fontId="16" fillId="2" borderId="0" xfId="0" applyFont="1" applyFill="1"/>
    <xf numFmtId="0" fontId="15" fillId="0" borderId="0" xfId="0" applyFont="1" applyAlignment="1">
      <alignment horizontal="center" vertical="center"/>
    </xf>
    <xf numFmtId="0" fontId="14" fillId="2" borderId="0" xfId="0" applyFont="1" applyFill="1" applyAlignment="1">
      <alignment horizontal="left" vertical="center" wrapText="1"/>
    </xf>
    <xf numFmtId="0" fontId="14" fillId="2" borderId="0" xfId="0" applyFont="1" applyFill="1" applyAlignment="1">
      <alignment vertical="center" wrapText="1"/>
    </xf>
    <xf numFmtId="0" fontId="20" fillId="2" borderId="0" xfId="0" applyFont="1" applyFill="1" applyAlignment="1">
      <alignment horizontal="left" vertical="top" wrapText="1"/>
    </xf>
    <xf numFmtId="0" fontId="20" fillId="2" borderId="39" xfId="0" applyFont="1" applyFill="1" applyBorder="1" applyAlignment="1">
      <alignment vertical="top" wrapText="1"/>
    </xf>
    <xf numFmtId="49" fontId="19" fillId="2" borderId="38" xfId="0" applyNumberFormat="1" applyFont="1" applyFill="1" applyBorder="1" applyAlignment="1">
      <alignment horizontal="center" vertical="top" wrapText="1"/>
    </xf>
    <xf numFmtId="0" fontId="20" fillId="2" borderId="14" xfId="0" applyFont="1" applyFill="1" applyBorder="1" applyAlignment="1">
      <alignment horizontal="center" wrapText="1"/>
    </xf>
    <xf numFmtId="0" fontId="32" fillId="2" borderId="0" xfId="0" applyFont="1" applyFill="1" applyAlignment="1">
      <alignment vertical="center"/>
    </xf>
    <xf numFmtId="49" fontId="28" fillId="2" borderId="0" xfId="0" applyNumberFormat="1" applyFont="1" applyFill="1" applyAlignment="1" applyProtection="1">
      <alignment vertical="center"/>
      <protection locked="0"/>
    </xf>
    <xf numFmtId="0" fontId="33" fillId="2" borderId="0" xfId="0" applyFont="1" applyFill="1" applyAlignment="1">
      <alignment vertical="center"/>
    </xf>
    <xf numFmtId="0" fontId="48" fillId="2" borderId="0" xfId="1" applyFont="1" applyFill="1" applyBorder="1" applyAlignment="1" applyProtection="1">
      <alignment vertical="top"/>
    </xf>
    <xf numFmtId="0" fontId="24" fillId="2" borderId="0" xfId="0" applyFont="1" applyFill="1" applyAlignment="1">
      <alignment vertical="center" wrapText="1"/>
    </xf>
    <xf numFmtId="0" fontId="28" fillId="0" borderId="0" xfId="0" applyFont="1" applyAlignment="1">
      <alignment vertical="center"/>
    </xf>
    <xf numFmtId="0" fontId="25" fillId="2" borderId="0" xfId="0" applyFont="1" applyFill="1" applyProtection="1">
      <protection locked="0"/>
    </xf>
    <xf numFmtId="0" fontId="32" fillId="2" borderId="0" xfId="0" applyFont="1" applyFill="1" applyAlignment="1" applyProtection="1">
      <alignment horizontal="center" vertical="center"/>
      <protection locked="0"/>
    </xf>
    <xf numFmtId="0" fontId="33" fillId="2" borderId="0" xfId="0" applyFont="1" applyFill="1" applyAlignment="1" applyProtection="1">
      <alignment horizontal="left" vertical="top" wrapText="1"/>
      <protection locked="0"/>
    </xf>
    <xf numFmtId="0" fontId="22" fillId="4" borderId="0" xfId="0" applyFont="1" applyFill="1" applyProtection="1">
      <protection locked="0"/>
    </xf>
    <xf numFmtId="164" fontId="21" fillId="4" borderId="0" xfId="0" applyNumberFormat="1" applyFont="1" applyFill="1" applyProtection="1">
      <protection locked="0"/>
    </xf>
    <xf numFmtId="0" fontId="32" fillId="2" borderId="0" xfId="0" applyFont="1" applyFill="1" applyAlignment="1" applyProtection="1">
      <alignment horizontal="right"/>
      <protection locked="0"/>
    </xf>
    <xf numFmtId="0" fontId="21" fillId="2" borderId="0" xfId="0" applyFont="1" applyFill="1" applyAlignment="1" applyProtection="1">
      <alignment horizontal="left"/>
      <protection locked="0"/>
    </xf>
    <xf numFmtId="0" fontId="34" fillId="2" borderId="0" xfId="0" applyFont="1" applyFill="1" applyAlignment="1" applyProtection="1">
      <alignment horizontal="left"/>
      <protection locked="0"/>
    </xf>
    <xf numFmtId="0" fontId="21" fillId="2" borderId="0" xfId="0" applyFont="1" applyFill="1" applyAlignment="1" applyProtection="1">
      <alignment vertical="center"/>
      <protection locked="0"/>
    </xf>
    <xf numFmtId="0" fontId="30" fillId="2" borderId="0" xfId="0" applyFont="1" applyFill="1" applyAlignment="1" applyProtection="1">
      <alignment vertical="center" wrapText="1"/>
      <protection locked="0"/>
    </xf>
    <xf numFmtId="0" fontId="28" fillId="2" borderId="0" xfId="0" applyFont="1" applyFill="1" applyAlignment="1" applyProtection="1">
      <alignment horizontal="left" vertical="top" wrapText="1"/>
      <protection locked="0"/>
    </xf>
    <xf numFmtId="0" fontId="30" fillId="2" borderId="0" xfId="0" applyFont="1" applyFill="1" applyAlignment="1" applyProtection="1">
      <alignment vertical="top"/>
      <protection locked="0"/>
    </xf>
    <xf numFmtId="0" fontId="21" fillId="2" borderId="0" xfId="0" applyFont="1" applyFill="1" applyAlignment="1" applyProtection="1">
      <alignment vertical="top"/>
      <protection locked="0"/>
    </xf>
    <xf numFmtId="0" fontId="21" fillId="2" borderId="0" xfId="0" applyFont="1" applyFill="1" applyAlignment="1" applyProtection="1">
      <alignment vertical="top" wrapText="1"/>
      <protection locked="0"/>
    </xf>
    <xf numFmtId="0" fontId="32" fillId="2" borderId="0" xfId="0" applyFont="1" applyFill="1" applyAlignment="1" applyProtection="1">
      <alignment vertical="top" wrapText="1"/>
      <protection locked="0"/>
    </xf>
    <xf numFmtId="0" fontId="21" fillId="2" borderId="0" xfId="0" applyFont="1" applyFill="1" applyAlignment="1" applyProtection="1">
      <alignment horizontal="left" vertical="top" wrapText="1"/>
      <protection locked="0"/>
    </xf>
    <xf numFmtId="0" fontId="14" fillId="0" borderId="0" xfId="0" applyFont="1" applyAlignment="1" applyProtection="1">
      <alignment horizontal="left" vertical="top"/>
      <protection locked="0"/>
    </xf>
    <xf numFmtId="0" fontId="14" fillId="2" borderId="0" xfId="0" applyFont="1" applyFill="1" applyAlignment="1" applyProtection="1">
      <alignment vertical="top"/>
      <protection locked="0"/>
    </xf>
    <xf numFmtId="0" fontId="14" fillId="2" borderId="0" xfId="0" applyFont="1" applyFill="1" applyAlignment="1" applyProtection="1">
      <alignment horizontal="left" vertical="top"/>
      <protection locked="0"/>
    </xf>
    <xf numFmtId="0" fontId="21" fillId="2" borderId="4" xfId="0" applyFont="1" applyFill="1" applyBorder="1" applyProtection="1">
      <protection locked="0"/>
    </xf>
    <xf numFmtId="0" fontId="21" fillId="2" borderId="6" xfId="0" applyFont="1" applyFill="1" applyBorder="1" applyProtection="1">
      <protection locked="0"/>
    </xf>
    <xf numFmtId="0" fontId="21" fillId="2" borderId="43" xfId="0" applyFont="1" applyFill="1" applyBorder="1" applyProtection="1">
      <protection locked="0"/>
    </xf>
    <xf numFmtId="0" fontId="21" fillId="4" borderId="43" xfId="0" applyFont="1" applyFill="1" applyBorder="1" applyProtection="1">
      <protection locked="0"/>
    </xf>
    <xf numFmtId="0" fontId="28" fillId="2" borderId="43" xfId="0" applyFont="1" applyFill="1" applyBorder="1" applyProtection="1">
      <protection locked="0"/>
    </xf>
    <xf numFmtId="0" fontId="32" fillId="2" borderId="25" xfId="0" applyFont="1" applyFill="1" applyBorder="1" applyAlignment="1" applyProtection="1">
      <alignment vertical="top" wrapText="1"/>
      <protection locked="0"/>
    </xf>
    <xf numFmtId="0" fontId="28" fillId="0" borderId="0" xfId="0" applyFont="1" applyAlignment="1">
      <alignment horizontal="left" vertical="center" wrapText="1"/>
    </xf>
    <xf numFmtId="0" fontId="28" fillId="2" borderId="0" xfId="0" applyFont="1" applyFill="1" applyAlignment="1">
      <alignment horizontal="center" vertical="center" wrapText="1"/>
    </xf>
    <xf numFmtId="0" fontId="15" fillId="2" borderId="0" xfId="0" applyFont="1" applyFill="1" applyAlignment="1">
      <alignment horizontal="center" vertical="center"/>
    </xf>
    <xf numFmtId="2" fontId="22" fillId="2" borderId="0" xfId="0" applyNumberFormat="1" applyFont="1" applyFill="1" applyAlignment="1">
      <alignment horizontal="center" vertical="center"/>
    </xf>
    <xf numFmtId="0" fontId="30" fillId="2" borderId="0" xfId="0" applyFont="1" applyFill="1" applyAlignment="1">
      <alignment horizontal="center" vertical="center" wrapText="1"/>
    </xf>
    <xf numFmtId="0" fontId="22" fillId="2" borderId="0" xfId="0" applyFont="1" applyFill="1" applyAlignment="1">
      <alignment vertical="center"/>
    </xf>
    <xf numFmtId="2" fontId="22" fillId="2" borderId="0" xfId="0" applyNumberFormat="1" applyFont="1" applyFill="1" applyAlignment="1">
      <alignment vertical="center"/>
    </xf>
    <xf numFmtId="0" fontId="30" fillId="2" borderId="0" xfId="0" applyFont="1" applyFill="1" applyAlignment="1">
      <alignment vertical="center" wrapText="1"/>
    </xf>
    <xf numFmtId="0" fontId="16" fillId="2" borderId="0" xfId="0" applyFont="1" applyFill="1" applyAlignment="1">
      <alignment horizontal="center" vertical="center" wrapText="1"/>
    </xf>
    <xf numFmtId="0" fontId="29" fillId="14" borderId="89" xfId="0" applyFont="1" applyFill="1" applyBorder="1" applyAlignment="1">
      <alignment horizontal="center" vertical="center" wrapText="1"/>
    </xf>
    <xf numFmtId="0" fontId="29" fillId="14" borderId="90" xfId="0" applyFont="1" applyFill="1" applyBorder="1" applyAlignment="1">
      <alignment horizontal="center" vertical="center" wrapText="1"/>
    </xf>
    <xf numFmtId="0" fontId="29" fillId="14" borderId="85" xfId="0" applyFont="1" applyFill="1" applyBorder="1" applyAlignment="1">
      <alignment horizontal="center" vertical="center" wrapText="1"/>
    </xf>
    <xf numFmtId="0" fontId="36" fillId="14" borderId="85" xfId="0" applyFont="1" applyFill="1" applyBorder="1" applyAlignment="1">
      <alignment horizontal="center" vertical="center" wrapText="1"/>
    </xf>
    <xf numFmtId="0" fontId="79" fillId="24" borderId="80" xfId="0" applyFont="1" applyFill="1" applyBorder="1" applyAlignment="1">
      <alignment horizontal="center" vertical="center"/>
    </xf>
    <xf numFmtId="2" fontId="79" fillId="24" borderId="81" xfId="0" applyNumberFormat="1" applyFont="1" applyFill="1" applyBorder="1" applyAlignment="1">
      <alignment horizontal="center" vertical="center"/>
    </xf>
    <xf numFmtId="0" fontId="15" fillId="15" borderId="83" xfId="0" applyFont="1" applyFill="1" applyBorder="1" applyAlignment="1">
      <alignment horizontal="center" vertical="center"/>
    </xf>
    <xf numFmtId="0" fontId="15" fillId="14" borderId="82" xfId="0" applyFont="1" applyFill="1" applyBorder="1" applyAlignment="1">
      <alignment horizontal="center" vertical="center"/>
    </xf>
    <xf numFmtId="0" fontId="29" fillId="24" borderId="85" xfId="0" applyFont="1" applyFill="1" applyBorder="1" applyAlignment="1">
      <alignment horizontal="center" vertical="center" wrapText="1"/>
    </xf>
    <xf numFmtId="0" fontId="15" fillId="12" borderId="95" xfId="0" applyFont="1" applyFill="1" applyBorder="1" applyAlignment="1">
      <alignment horizontal="center" vertical="center" wrapText="1"/>
    </xf>
    <xf numFmtId="0" fontId="15" fillId="13" borderId="94" xfId="0" applyFont="1" applyFill="1" applyBorder="1" applyAlignment="1">
      <alignment horizontal="center" vertical="center" wrapText="1"/>
    </xf>
    <xf numFmtId="164" fontId="15" fillId="13" borderId="96" xfId="0" applyNumberFormat="1" applyFont="1" applyFill="1" applyBorder="1" applyAlignment="1">
      <alignment horizontal="center" vertical="center" wrapText="1"/>
    </xf>
    <xf numFmtId="0" fontId="15" fillId="11" borderId="97" xfId="0" applyFont="1" applyFill="1" applyBorder="1" applyAlignment="1">
      <alignment horizontal="center" vertical="center"/>
    </xf>
    <xf numFmtId="0" fontId="36" fillId="17" borderId="85" xfId="0" applyFont="1" applyFill="1" applyBorder="1" applyAlignment="1">
      <alignment horizontal="center" vertical="center" wrapText="1"/>
    </xf>
    <xf numFmtId="0" fontId="29" fillId="14" borderId="90" xfId="0" applyFont="1" applyFill="1" applyBorder="1" applyAlignment="1">
      <alignment horizontal="center" vertical="center"/>
    </xf>
    <xf numFmtId="0" fontId="14" fillId="8" borderId="85" xfId="3" applyFont="1" applyFill="1" applyBorder="1" applyAlignment="1">
      <alignment horizontal="center" vertical="center" wrapText="1"/>
    </xf>
    <xf numFmtId="0" fontId="24" fillId="15" borderId="98" xfId="0" applyFont="1" applyFill="1" applyBorder="1" applyAlignment="1">
      <alignment horizontal="center" vertical="center" wrapText="1"/>
    </xf>
    <xf numFmtId="0" fontId="24" fillId="15" borderId="107" xfId="0" applyFont="1" applyFill="1" applyBorder="1" applyAlignment="1">
      <alignment horizontal="center" vertical="center" wrapText="1"/>
    </xf>
    <xf numFmtId="0" fontId="24" fillId="2" borderId="98" xfId="0" applyFont="1" applyFill="1" applyBorder="1" applyAlignment="1" applyProtection="1">
      <alignment horizontal="center" vertical="center"/>
      <protection locked="0"/>
    </xf>
    <xf numFmtId="0" fontId="24" fillId="2" borderId="107" xfId="0" applyFont="1" applyFill="1" applyBorder="1" applyAlignment="1" applyProtection="1">
      <alignment horizontal="center" vertical="center"/>
      <protection locked="0"/>
    </xf>
    <xf numFmtId="1" fontId="43" fillId="2" borderId="98" xfId="0" applyNumberFormat="1" applyFont="1" applyFill="1" applyBorder="1" applyAlignment="1">
      <alignment horizontal="center" vertical="center"/>
    </xf>
    <xf numFmtId="164" fontId="24" fillId="15" borderId="98" xfId="0" applyNumberFormat="1" applyFont="1" applyFill="1" applyBorder="1" applyAlignment="1">
      <alignment horizontal="center" vertical="center"/>
    </xf>
    <xf numFmtId="164" fontId="24" fillId="15" borderId="107" xfId="0" applyNumberFormat="1" applyFont="1" applyFill="1" applyBorder="1" applyAlignment="1">
      <alignment horizontal="center" vertical="center"/>
    </xf>
    <xf numFmtId="164" fontId="31" fillId="15" borderId="98" xfId="0" applyNumberFormat="1" applyFont="1" applyFill="1" applyBorder="1" applyAlignment="1">
      <alignment horizontal="center" vertical="center"/>
    </xf>
    <xf numFmtId="164" fontId="24" fillId="15" borderId="98" xfId="0" quotePrefix="1" applyNumberFormat="1" applyFont="1" applyFill="1" applyBorder="1" applyAlignment="1">
      <alignment horizontal="center" vertical="center"/>
    </xf>
    <xf numFmtId="0" fontId="24" fillId="13" borderId="98" xfId="0" applyFont="1" applyFill="1" applyBorder="1" applyAlignment="1">
      <alignment horizontal="center" vertical="center" wrapText="1"/>
    </xf>
    <xf numFmtId="164" fontId="24" fillId="13" borderId="107" xfId="0" applyNumberFormat="1" applyFont="1" applyFill="1" applyBorder="1" applyAlignment="1">
      <alignment horizontal="center" vertical="center"/>
    </xf>
    <xf numFmtId="0" fontId="24" fillId="13" borderId="98" xfId="0" applyFont="1" applyFill="1" applyBorder="1" applyAlignment="1">
      <alignment horizontal="center" vertical="center"/>
    </xf>
    <xf numFmtId="0" fontId="42" fillId="14" borderId="89" xfId="0" applyFont="1" applyFill="1" applyBorder="1" applyAlignment="1">
      <alignment horizontal="center" vertical="center" wrapText="1"/>
    </xf>
    <xf numFmtId="164" fontId="24" fillId="15" borderId="0" xfId="0" applyNumberFormat="1" applyFont="1" applyFill="1" applyAlignment="1">
      <alignment horizontal="center" vertical="center"/>
    </xf>
    <xf numFmtId="164" fontId="24" fillId="15" borderId="88" xfId="0" applyNumberFormat="1" applyFont="1" applyFill="1" applyBorder="1" applyAlignment="1">
      <alignment horizontal="center" vertical="center"/>
    </xf>
    <xf numFmtId="0" fontId="24" fillId="15" borderId="108" xfId="0" applyFont="1" applyFill="1" applyBorder="1" applyAlignment="1">
      <alignment horizontal="center" vertical="center" wrapText="1"/>
    </xf>
    <xf numFmtId="0" fontId="24" fillId="2" borderId="108" xfId="0" applyFont="1" applyFill="1" applyBorder="1" applyAlignment="1" applyProtection="1">
      <alignment horizontal="center" vertical="center"/>
      <protection locked="0"/>
    </xf>
    <xf numFmtId="164" fontId="24" fillId="15" borderId="108" xfId="0" applyNumberFormat="1" applyFont="1" applyFill="1" applyBorder="1" applyAlignment="1">
      <alignment horizontal="center" vertical="center"/>
    </xf>
    <xf numFmtId="164" fontId="24" fillId="15" borderId="86" xfId="0" applyNumberFormat="1" applyFont="1" applyFill="1" applyBorder="1" applyAlignment="1">
      <alignment horizontal="center" vertical="center"/>
    </xf>
    <xf numFmtId="0" fontId="24" fillId="13" borderId="108" xfId="0" applyFont="1" applyFill="1" applyBorder="1" applyAlignment="1">
      <alignment horizontal="center" vertical="center" wrapText="1"/>
    </xf>
    <xf numFmtId="0" fontId="24" fillId="13" borderId="107" xfId="0" applyFont="1" applyFill="1" applyBorder="1" applyAlignment="1">
      <alignment horizontal="center" vertical="center" wrapText="1"/>
    </xf>
    <xf numFmtId="0" fontId="47" fillId="13" borderId="108" xfId="2" applyFont="1" applyFill="1" applyBorder="1" applyAlignment="1">
      <alignment horizontal="center" vertical="center"/>
    </xf>
    <xf numFmtId="0" fontId="15" fillId="2" borderId="80" xfId="0" applyFont="1" applyFill="1" applyBorder="1" applyAlignment="1">
      <alignment horizontal="left" vertical="center"/>
    </xf>
    <xf numFmtId="14" fontId="14" fillId="2" borderId="81" xfId="0" applyNumberFormat="1" applyFont="1" applyFill="1" applyBorder="1" applyAlignment="1">
      <alignment horizontal="left" vertical="center"/>
    </xf>
    <xf numFmtId="0" fontId="15" fillId="2" borderId="81" xfId="0" applyFont="1" applyFill="1" applyBorder="1" applyAlignment="1">
      <alignment vertical="center"/>
    </xf>
    <xf numFmtId="0" fontId="14" fillId="2" borderId="81" xfId="0" applyFont="1" applyFill="1" applyBorder="1" applyAlignment="1">
      <alignment vertical="center"/>
    </xf>
    <xf numFmtId="0" fontId="15" fillId="2" borderId="81" xfId="0" applyFont="1" applyFill="1" applyBorder="1" applyAlignment="1">
      <alignment horizontal="left" vertical="center"/>
    </xf>
    <xf numFmtId="0" fontId="14" fillId="2" borderId="81" xfId="0" applyFont="1" applyFill="1" applyBorder="1" applyAlignment="1">
      <alignment horizontal="left" vertical="center"/>
    </xf>
    <xf numFmtId="0" fontId="14" fillId="2" borderId="84" xfId="0" applyFont="1" applyFill="1" applyBorder="1" applyAlignment="1">
      <alignment horizontal="left" vertical="center"/>
    </xf>
    <xf numFmtId="0" fontId="15" fillId="14" borderId="130" xfId="0" applyFont="1" applyFill="1" applyBorder="1" applyAlignment="1">
      <alignment vertical="center"/>
    </xf>
    <xf numFmtId="0" fontId="15" fillId="14" borderId="133" xfId="0" applyFont="1" applyFill="1" applyBorder="1" applyAlignment="1">
      <alignment horizontal="center" vertical="center"/>
    </xf>
    <xf numFmtId="0" fontId="28" fillId="8" borderId="134" xfId="0" applyFont="1" applyFill="1" applyBorder="1" applyAlignment="1">
      <alignment horizontal="center" vertical="center" wrapText="1"/>
    </xf>
    <xf numFmtId="0" fontId="28" fillId="8" borderId="135" xfId="0" applyFont="1" applyFill="1" applyBorder="1" applyAlignment="1">
      <alignment horizontal="center" vertical="center" wrapText="1"/>
    </xf>
    <xf numFmtId="0" fontId="20" fillId="8" borderId="134" xfId="0" applyFont="1" applyFill="1" applyBorder="1" applyAlignment="1">
      <alignment horizontal="center" vertical="center" wrapText="1"/>
    </xf>
    <xf numFmtId="0" fontId="28" fillId="8" borderId="136" xfId="0" applyFont="1" applyFill="1" applyBorder="1" applyAlignment="1">
      <alignment horizontal="center" vertical="center" wrapText="1"/>
    </xf>
    <xf numFmtId="0" fontId="28" fillId="8" borderId="137" xfId="0" applyFont="1" applyFill="1" applyBorder="1" applyAlignment="1">
      <alignment horizontal="center" vertical="center" wrapText="1"/>
    </xf>
    <xf numFmtId="0" fontId="15" fillId="14" borderId="89" xfId="0" applyFont="1" applyFill="1" applyBorder="1" applyAlignment="1">
      <alignment vertical="center"/>
    </xf>
    <xf numFmtId="0" fontId="15" fillId="14" borderId="90" xfId="0" applyFont="1" applyFill="1" applyBorder="1" applyAlignment="1">
      <alignment vertical="center"/>
    </xf>
    <xf numFmtId="0" fontId="15" fillId="14" borderId="139" xfId="0" applyFont="1" applyFill="1" applyBorder="1" applyAlignment="1">
      <alignment horizontal="center" vertical="center"/>
    </xf>
    <xf numFmtId="0" fontId="15" fillId="15" borderId="98" xfId="0" applyFont="1" applyFill="1" applyBorder="1" applyAlignment="1">
      <alignment horizontal="center" vertical="top" wrapText="1"/>
    </xf>
    <xf numFmtId="0" fontId="15" fillId="15" borderId="107" xfId="0" applyFont="1" applyFill="1" applyBorder="1" applyAlignment="1">
      <alignment horizontal="center" vertical="center"/>
    </xf>
    <xf numFmtId="0" fontId="20" fillId="8" borderId="136" xfId="0" applyFont="1" applyFill="1" applyBorder="1" applyAlignment="1">
      <alignment horizontal="center" vertical="center" wrapText="1"/>
    </xf>
    <xf numFmtId="0" fontId="15" fillId="14" borderId="130" xfId="0" applyFont="1" applyFill="1" applyBorder="1" applyAlignment="1">
      <alignment horizontal="center" vertical="center"/>
    </xf>
    <xf numFmtId="0" fontId="15" fillId="14" borderId="88" xfId="0" applyFont="1" applyFill="1" applyBorder="1" applyAlignment="1">
      <alignment vertical="center"/>
    </xf>
    <xf numFmtId="0" fontId="78" fillId="8" borderId="85" xfId="1" applyFont="1" applyFill="1" applyBorder="1" applyAlignment="1" applyProtection="1">
      <alignment horizontal="center" vertical="center" wrapText="1"/>
    </xf>
    <xf numFmtId="0" fontId="0" fillId="0" borderId="133" xfId="0" applyBorder="1"/>
    <xf numFmtId="0" fontId="0" fillId="0" borderId="134" xfId="0" applyBorder="1"/>
    <xf numFmtId="0" fontId="0" fillId="0" borderId="135" xfId="0" applyBorder="1"/>
    <xf numFmtId="0" fontId="28" fillId="0" borderId="133" xfId="0" applyFont="1" applyBorder="1" applyAlignment="1" applyProtection="1">
      <alignment horizontal="center" vertical="center" wrapText="1"/>
      <protection locked="0"/>
    </xf>
    <xf numFmtId="0" fontId="28" fillId="0" borderId="134" xfId="0" applyFont="1" applyBorder="1" applyAlignment="1" applyProtection="1">
      <alignment horizontal="center" vertical="center" wrapText="1"/>
      <protection locked="0"/>
    </xf>
    <xf numFmtId="0" fontId="28" fillId="0" borderId="133" xfId="0" applyFont="1" applyBorder="1" applyAlignment="1">
      <alignment horizontal="center" vertical="center" wrapText="1"/>
    </xf>
    <xf numFmtId="0" fontId="28" fillId="0" borderId="134" xfId="0" applyFont="1" applyBorder="1" applyAlignment="1">
      <alignment horizontal="center" vertical="center" wrapText="1"/>
    </xf>
    <xf numFmtId="0" fontId="28" fillId="0" borderId="135" xfId="0" applyFont="1" applyBorder="1" applyAlignment="1">
      <alignment horizontal="center" vertical="center" wrapText="1"/>
    </xf>
    <xf numFmtId="0" fontId="41" fillId="24" borderId="79" xfId="0" applyFont="1" applyFill="1" applyBorder="1" applyAlignment="1">
      <alignment horizontal="center" vertical="center"/>
    </xf>
    <xf numFmtId="0" fontId="15" fillId="14" borderId="79" xfId="0" applyFont="1" applyFill="1" applyBorder="1" applyAlignment="1">
      <alignment horizontal="center" vertical="center"/>
    </xf>
    <xf numFmtId="0" fontId="15" fillId="14" borderId="85" xfId="0" applyFont="1" applyFill="1" applyBorder="1" applyAlignment="1" applyProtection="1">
      <alignment horizontal="center" vertical="center"/>
      <protection locked="0"/>
    </xf>
    <xf numFmtId="0" fontId="15" fillId="9" borderId="85" xfId="0" applyFont="1" applyFill="1" applyBorder="1" applyAlignment="1" applyProtection="1">
      <alignment horizontal="center" vertical="center"/>
      <protection locked="0"/>
    </xf>
    <xf numFmtId="0" fontId="15" fillId="14" borderId="108" xfId="0" applyFont="1" applyFill="1" applyBorder="1" applyAlignment="1" applyProtection="1">
      <alignment horizontal="center" vertical="center"/>
      <protection locked="0"/>
    </xf>
    <xf numFmtId="0" fontId="15" fillId="14" borderId="139" xfId="0" applyFont="1" applyFill="1" applyBorder="1" applyAlignment="1" applyProtection="1">
      <alignment horizontal="center" vertical="center"/>
      <protection locked="0"/>
    </xf>
    <xf numFmtId="0" fontId="15" fillId="14" borderId="86" xfId="0" applyFont="1" applyFill="1" applyBorder="1" applyAlignment="1" applyProtection="1">
      <alignment horizontal="center" vertical="center"/>
      <protection locked="0"/>
    </xf>
    <xf numFmtId="0" fontId="15" fillId="14" borderId="132" xfId="0" applyFont="1" applyFill="1" applyBorder="1" applyAlignment="1" applyProtection="1">
      <alignment horizontal="center" vertical="center"/>
      <protection locked="0"/>
    </xf>
    <xf numFmtId="0" fontId="14" fillId="8" borderId="81" xfId="0" applyFont="1" applyFill="1" applyBorder="1" applyAlignment="1">
      <alignment vertical="center"/>
    </xf>
    <xf numFmtId="1" fontId="14" fillId="2" borderId="81" xfId="0" applyNumberFormat="1" applyFont="1" applyFill="1" applyBorder="1" applyAlignment="1">
      <alignment horizontal="center" vertical="center"/>
    </xf>
    <xf numFmtId="0" fontId="19" fillId="17" borderId="93" xfId="0" applyFont="1" applyFill="1" applyBorder="1" applyAlignment="1">
      <alignment horizontal="center" vertical="center" wrapText="1"/>
    </xf>
    <xf numFmtId="0" fontId="19" fillId="17" borderId="94" xfId="0" applyFont="1" applyFill="1" applyBorder="1" applyAlignment="1">
      <alignment horizontal="center" vertical="center" wrapText="1"/>
    </xf>
    <xf numFmtId="0" fontId="19" fillId="17" borderId="95" xfId="0" applyFont="1" applyFill="1" applyBorder="1" applyAlignment="1">
      <alignment horizontal="center" vertical="center" wrapText="1"/>
    </xf>
    <xf numFmtId="2" fontId="14" fillId="8" borderId="81" xfId="0" applyNumberFormat="1" applyFont="1" applyFill="1" applyBorder="1" applyAlignment="1">
      <alignment vertical="center"/>
    </xf>
    <xf numFmtId="0" fontId="16" fillId="8" borderId="84" xfId="0" applyFont="1" applyFill="1" applyBorder="1" applyAlignment="1">
      <alignment vertical="center"/>
    </xf>
    <xf numFmtId="1" fontId="16" fillId="2" borderId="84" xfId="0" applyNumberFormat="1" applyFont="1" applyFill="1" applyBorder="1" applyAlignment="1">
      <alignment horizontal="center" vertical="center"/>
    </xf>
    <xf numFmtId="164" fontId="19" fillId="13" borderId="156" xfId="0" applyNumberFormat="1" applyFont="1" applyFill="1" applyBorder="1" applyAlignment="1">
      <alignment horizontal="center" vertical="center" wrapText="1"/>
    </xf>
    <xf numFmtId="164" fontId="19" fillId="13" borderId="94" xfId="0" applyNumberFormat="1" applyFont="1" applyFill="1" applyBorder="1" applyAlignment="1">
      <alignment horizontal="center" vertical="center" wrapText="1"/>
    </xf>
    <xf numFmtId="9" fontId="19" fillId="13" borderId="96" xfId="0" applyNumberFormat="1" applyFont="1" applyFill="1" applyBorder="1" applyAlignment="1">
      <alignment horizontal="center" vertical="center" wrapText="1"/>
    </xf>
    <xf numFmtId="0" fontId="14" fillId="2" borderId="140" xfId="0" applyFont="1" applyFill="1" applyBorder="1"/>
    <xf numFmtId="0" fontId="14" fillId="2" borderId="109" xfId="0" applyFont="1" applyFill="1" applyBorder="1"/>
    <xf numFmtId="0" fontId="14" fillId="2" borderId="141" xfId="0" applyFont="1" applyFill="1" applyBorder="1"/>
    <xf numFmtId="0" fontId="14" fillId="2" borderId="144" xfId="0" applyFont="1" applyFill="1" applyBorder="1"/>
    <xf numFmtId="0" fontId="14" fillId="2" borderId="145" xfId="0" applyFont="1" applyFill="1" applyBorder="1"/>
    <xf numFmtId="0" fontId="16" fillId="2" borderId="0" xfId="0" applyFont="1" applyFill="1" applyAlignment="1">
      <alignment vertical="top"/>
    </xf>
    <xf numFmtId="0" fontId="16" fillId="2" borderId="0" xfId="0" applyFont="1" applyFill="1" applyAlignment="1">
      <alignment horizontal="left" vertical="top"/>
    </xf>
    <xf numFmtId="0" fontId="25" fillId="2" borderId="145" xfId="0" applyFont="1" applyFill="1" applyBorder="1"/>
    <xf numFmtId="0" fontId="49" fillId="2" borderId="0" xfId="0" applyFont="1" applyFill="1" applyAlignment="1">
      <alignment vertical="top" wrapText="1"/>
    </xf>
    <xf numFmtId="14" fontId="14" fillId="2" borderId="0" xfId="0" applyNumberFormat="1" applyFont="1" applyFill="1" applyAlignment="1">
      <alignment horizontal="left" vertical="top"/>
    </xf>
    <xf numFmtId="0" fontId="53" fillId="2" borderId="0" xfId="0" applyFont="1" applyFill="1" applyAlignment="1">
      <alignment vertical="center"/>
    </xf>
    <xf numFmtId="0" fontId="49" fillId="2" borderId="144" xfId="0" applyFont="1" applyFill="1" applyBorder="1" applyAlignment="1">
      <alignment vertical="top"/>
    </xf>
    <xf numFmtId="0" fontId="50" fillId="2" borderId="145" xfId="0" applyFont="1" applyFill="1" applyBorder="1"/>
    <xf numFmtId="0" fontId="15" fillId="2" borderId="0" xfId="0" applyFont="1" applyFill="1" applyAlignment="1">
      <alignment vertical="center" wrapText="1"/>
    </xf>
    <xf numFmtId="1" fontId="16" fillId="2" borderId="0" xfId="0" applyNumberFormat="1" applyFont="1" applyFill="1" applyAlignment="1">
      <alignment horizontal="center"/>
    </xf>
    <xf numFmtId="0" fontId="16" fillId="2" borderId="0" xfId="0" applyFont="1" applyFill="1" applyAlignment="1">
      <alignment horizontal="left" vertical="top" wrapText="1"/>
    </xf>
    <xf numFmtId="0" fontId="20" fillId="0" borderId="0" xfId="0" applyFont="1" applyAlignment="1">
      <alignment vertical="top"/>
    </xf>
    <xf numFmtId="0" fontId="25" fillId="0" borderId="145" xfId="0" applyFont="1" applyBorder="1"/>
    <xf numFmtId="0" fontId="31" fillId="2" borderId="0" xfId="0" applyFont="1" applyFill="1" applyAlignment="1">
      <alignment vertical="center" wrapText="1"/>
    </xf>
    <xf numFmtId="0" fontId="14" fillId="2" borderId="146" xfId="0" applyFont="1" applyFill="1" applyBorder="1"/>
    <xf numFmtId="0" fontId="14" fillId="2" borderId="138" xfId="0" applyFont="1" applyFill="1" applyBorder="1"/>
    <xf numFmtId="0" fontId="31" fillId="2" borderId="138" xfId="0" applyFont="1" applyFill="1" applyBorder="1" applyAlignment="1">
      <alignment vertical="center" wrapText="1"/>
    </xf>
    <xf numFmtId="0" fontId="14" fillId="2" borderId="147" xfId="0" applyFont="1" applyFill="1" applyBorder="1"/>
    <xf numFmtId="0" fontId="19" fillId="2" borderId="27" xfId="0" applyFont="1" applyFill="1" applyBorder="1" applyAlignment="1">
      <alignment vertical="top" wrapText="1"/>
    </xf>
    <xf numFmtId="0" fontId="19" fillId="2" borderId="28" xfId="0" applyFont="1" applyFill="1" applyBorder="1" applyAlignment="1">
      <alignment vertical="top" wrapText="1"/>
    </xf>
    <xf numFmtId="0" fontId="19" fillId="2" borderId="33" xfId="0" applyFont="1" applyFill="1" applyBorder="1" applyAlignment="1">
      <alignment vertical="top" wrapText="1"/>
    </xf>
    <xf numFmtId="0" fontId="19" fillId="2" borderId="26" xfId="0" applyFont="1" applyFill="1" applyBorder="1" applyAlignment="1">
      <alignment vertical="top" wrapText="1"/>
    </xf>
    <xf numFmtId="164" fontId="20" fillId="2" borderId="23" xfId="0" applyNumberFormat="1" applyFont="1" applyFill="1" applyBorder="1" applyAlignment="1">
      <alignment horizontal="left" vertical="top" wrapText="1"/>
    </xf>
    <xf numFmtId="164" fontId="20" fillId="2" borderId="2" xfId="0" applyNumberFormat="1" applyFont="1" applyFill="1" applyBorder="1" applyAlignment="1">
      <alignment horizontal="left" vertical="top" wrapText="1"/>
    </xf>
    <xf numFmtId="164" fontId="20" fillId="2" borderId="40" xfId="0" applyNumberFormat="1" applyFont="1" applyFill="1" applyBorder="1" applyAlignment="1">
      <alignment horizontal="left" vertical="top" wrapText="1"/>
    </xf>
    <xf numFmtId="0" fontId="20" fillId="2" borderId="23" xfId="0" applyFont="1" applyFill="1" applyBorder="1" applyAlignment="1">
      <alignment horizontal="left" vertical="top" wrapText="1"/>
    </xf>
    <xf numFmtId="0" fontId="20" fillId="2" borderId="2" xfId="0" applyFont="1" applyFill="1" applyBorder="1" applyAlignment="1">
      <alignment horizontal="left" vertical="top" wrapText="1"/>
    </xf>
    <xf numFmtId="164" fontId="20" fillId="2" borderId="2" xfId="0" applyNumberFormat="1" applyFont="1" applyFill="1" applyBorder="1" applyAlignment="1">
      <alignment vertical="top" wrapText="1"/>
    </xf>
    <xf numFmtId="164" fontId="20" fillId="2" borderId="23" xfId="0" applyNumberFormat="1" applyFont="1" applyFill="1" applyBorder="1" applyAlignment="1">
      <alignment vertical="top" wrapText="1"/>
    </xf>
    <xf numFmtId="164" fontId="19" fillId="8" borderId="23" xfId="0" applyNumberFormat="1" applyFont="1" applyFill="1" applyBorder="1" applyAlignment="1">
      <alignment horizontal="center" vertical="center"/>
    </xf>
    <xf numFmtId="164" fontId="19" fillId="8" borderId="23" xfId="0" applyNumberFormat="1" applyFont="1" applyFill="1" applyBorder="1" applyAlignment="1">
      <alignment horizontal="center" vertical="center" wrapText="1"/>
    </xf>
    <xf numFmtId="164" fontId="19" fillId="8" borderId="2" xfId="0" applyNumberFormat="1" applyFont="1" applyFill="1" applyBorder="1" applyAlignment="1">
      <alignment horizontal="center" vertical="center" wrapText="1"/>
    </xf>
    <xf numFmtId="164" fontId="19" fillId="8" borderId="36" xfId="0" applyNumberFormat="1" applyFont="1" applyFill="1" applyBorder="1" applyAlignment="1">
      <alignment horizontal="center" vertical="center" wrapText="1"/>
    </xf>
    <xf numFmtId="164" fontId="19" fillId="8" borderId="13" xfId="0" applyNumberFormat="1" applyFont="1" applyFill="1" applyBorder="1" applyAlignment="1">
      <alignment horizontal="center" vertical="center" wrapText="1"/>
    </xf>
    <xf numFmtId="0" fontId="29" fillId="2" borderId="0" xfId="0" applyFont="1" applyFill="1"/>
    <xf numFmtId="0" fontId="29" fillId="2" borderId="0" xfId="0" applyFont="1" applyFill="1" applyAlignment="1">
      <alignment horizontal="center"/>
    </xf>
    <xf numFmtId="0" fontId="29" fillId="2" borderId="0" xfId="0" applyFont="1" applyFill="1" applyAlignment="1">
      <alignment vertical="top"/>
    </xf>
    <xf numFmtId="0" fontId="81" fillId="2" borderId="0" xfId="0" applyFont="1" applyFill="1" applyAlignment="1">
      <alignment horizontal="left" vertical="center" wrapText="1"/>
    </xf>
    <xf numFmtId="164" fontId="16" fillId="2" borderId="0" xfId="0" applyNumberFormat="1" applyFont="1" applyFill="1" applyAlignment="1">
      <alignment vertical="top" wrapText="1"/>
    </xf>
    <xf numFmtId="2" fontId="16" fillId="2" borderId="0" xfId="0" applyNumberFormat="1" applyFont="1" applyFill="1" applyAlignment="1">
      <alignment horizontal="center" vertical="center"/>
    </xf>
    <xf numFmtId="0" fontId="51" fillId="2" borderId="0" xfId="0" applyFont="1" applyFill="1" applyAlignment="1">
      <alignment horizontal="left" vertical="center" wrapText="1"/>
    </xf>
    <xf numFmtId="164" fontId="16" fillId="2" borderId="0" xfId="0" applyNumberFormat="1" applyFont="1" applyFill="1" applyAlignment="1">
      <alignment horizontal="right" vertical="center" wrapText="1"/>
    </xf>
    <xf numFmtId="165" fontId="16" fillId="2" borderId="0" xfId="0" applyNumberFormat="1" applyFont="1" applyFill="1" applyAlignment="1">
      <alignment wrapText="1"/>
    </xf>
    <xf numFmtId="0" fontId="16" fillId="2" borderId="0" xfId="0" applyFont="1" applyFill="1" applyAlignment="1">
      <alignment wrapText="1"/>
    </xf>
    <xf numFmtId="165" fontId="16" fillId="2" borderId="0" xfId="0" applyNumberFormat="1" applyFont="1" applyFill="1" applyAlignment="1">
      <alignment horizontal="right"/>
    </xf>
    <xf numFmtId="0" fontId="51" fillId="2" borderId="0" xfId="0" applyFont="1" applyFill="1" applyAlignment="1">
      <alignment vertical="center" wrapText="1"/>
    </xf>
    <xf numFmtId="164" fontId="16" fillId="2" borderId="0" xfId="0" applyNumberFormat="1" applyFont="1" applyFill="1" applyAlignment="1">
      <alignment vertical="center" wrapText="1"/>
    </xf>
    <xf numFmtId="165" fontId="16" fillId="2" borderId="0" xfId="0" applyNumberFormat="1" applyFont="1" applyFill="1" applyAlignment="1">
      <alignment horizontal="center" vertical="center"/>
    </xf>
    <xf numFmtId="0" fontId="16" fillId="2" borderId="0" xfId="0" applyFont="1" applyFill="1" applyAlignment="1">
      <alignment vertical="center"/>
    </xf>
    <xf numFmtId="2" fontId="16" fillId="2" borderId="0" xfId="0" applyNumberFormat="1" applyFont="1" applyFill="1" applyAlignment="1">
      <alignment horizontal="left"/>
    </xf>
    <xf numFmtId="1" fontId="14" fillId="2" borderId="0" xfId="0" applyNumberFormat="1" applyFont="1" applyFill="1" applyAlignment="1">
      <alignment horizontal="center" vertical="center"/>
    </xf>
    <xf numFmtId="165" fontId="14" fillId="2" borderId="0" xfId="0" applyNumberFormat="1" applyFont="1" applyFill="1" applyAlignment="1">
      <alignment horizontal="center" vertical="center"/>
    </xf>
    <xf numFmtId="0" fontId="16" fillId="2" borderId="0" xfId="0" applyFont="1" applyFill="1" applyAlignment="1">
      <alignment horizontal="left" wrapText="1"/>
    </xf>
    <xf numFmtId="165" fontId="14" fillId="2" borderId="0" xfId="0" applyNumberFormat="1" applyFont="1" applyFill="1" applyAlignment="1">
      <alignment horizontal="center"/>
    </xf>
    <xf numFmtId="1" fontId="14" fillId="2" borderId="0" xfId="0" applyNumberFormat="1" applyFont="1" applyFill="1" applyAlignment="1">
      <alignment horizontal="center"/>
    </xf>
    <xf numFmtId="165" fontId="16" fillId="2" borderId="0" xfId="0" applyNumberFormat="1" applyFont="1" applyFill="1" applyAlignment="1">
      <alignment horizontal="center"/>
    </xf>
    <xf numFmtId="165" fontId="16" fillId="2" borderId="0" xfId="0" applyNumberFormat="1" applyFont="1" applyFill="1"/>
    <xf numFmtId="0" fontId="16" fillId="2" borderId="0" xfId="0" applyFont="1" applyFill="1" applyAlignment="1">
      <alignment horizontal="center"/>
    </xf>
    <xf numFmtId="0" fontId="16" fillId="2" borderId="0" xfId="0" applyFont="1" applyFill="1" applyAlignment="1">
      <alignment horizontal="left" vertical="center"/>
    </xf>
    <xf numFmtId="0" fontId="14" fillId="2" borderId="0" xfId="0" applyFont="1" applyFill="1" applyAlignment="1">
      <alignment horizontal="left"/>
    </xf>
    <xf numFmtId="10" fontId="20" fillId="2" borderId="0" xfId="0" applyNumberFormat="1" applyFont="1" applyFill="1" applyAlignment="1">
      <alignment horizontal="left" vertical="center"/>
    </xf>
    <xf numFmtId="10" fontId="20" fillId="2" borderId="0" xfId="0" applyNumberFormat="1" applyFont="1" applyFill="1" applyAlignment="1">
      <alignment horizontal="right" vertical="center"/>
    </xf>
    <xf numFmtId="9" fontId="20" fillId="2" borderId="0" xfId="0" applyNumberFormat="1" applyFont="1" applyFill="1" applyAlignment="1">
      <alignment horizontal="left" vertical="center"/>
    </xf>
    <xf numFmtId="9" fontId="20" fillId="2" borderId="0" xfId="0" applyNumberFormat="1" applyFont="1" applyFill="1" applyAlignment="1">
      <alignment horizontal="right" vertical="center"/>
    </xf>
    <xf numFmtId="164" fontId="19" fillId="8" borderId="34" xfId="0" applyNumberFormat="1" applyFont="1" applyFill="1" applyBorder="1" applyAlignment="1">
      <alignment horizontal="center" vertical="center" wrapText="1"/>
    </xf>
    <xf numFmtId="164" fontId="19" fillId="7" borderId="12" xfId="0" applyNumberFormat="1" applyFont="1" applyFill="1" applyBorder="1" applyAlignment="1">
      <alignment horizontal="center" vertical="center"/>
    </xf>
    <xf numFmtId="164" fontId="19" fillId="8" borderId="31" xfId="0" applyNumberFormat="1" applyFont="1" applyFill="1" applyBorder="1" applyAlignment="1">
      <alignment horizontal="center" vertical="center" wrapText="1"/>
    </xf>
    <xf numFmtId="0" fontId="19" fillId="0" borderId="26" xfId="0" applyFont="1" applyBorder="1" applyAlignment="1">
      <alignment vertical="top" wrapText="1"/>
    </xf>
    <xf numFmtId="0" fontId="19" fillId="0" borderId="29" xfId="0" applyFont="1" applyBorder="1" applyAlignment="1">
      <alignment vertical="top" wrapText="1"/>
    </xf>
    <xf numFmtId="0" fontId="20" fillId="0" borderId="2" xfId="0" applyFont="1" applyBorder="1" applyAlignment="1">
      <alignment vertical="top" wrapText="1"/>
    </xf>
    <xf numFmtId="0" fontId="20" fillId="2" borderId="24" xfId="0" applyFont="1" applyFill="1" applyBorder="1" applyAlignment="1">
      <alignment horizontal="left" vertical="top" wrapText="1"/>
    </xf>
    <xf numFmtId="164" fontId="20" fillId="2" borderId="24" xfId="0" applyNumberFormat="1" applyFont="1" applyFill="1" applyBorder="1" applyAlignment="1">
      <alignment vertical="top" wrapText="1"/>
    </xf>
    <xf numFmtId="164" fontId="20" fillId="2" borderId="24" xfId="0" applyNumberFormat="1" applyFont="1" applyFill="1" applyBorder="1" applyAlignment="1">
      <alignment horizontal="left" vertical="top" wrapText="1"/>
    </xf>
    <xf numFmtId="164" fontId="19" fillId="8" borderId="70" xfId="0" applyNumberFormat="1" applyFont="1" applyFill="1" applyBorder="1" applyAlignment="1">
      <alignment horizontal="center" vertical="center" wrapText="1"/>
    </xf>
    <xf numFmtId="164" fontId="19" fillId="8" borderId="24" xfId="0" applyNumberFormat="1" applyFont="1" applyFill="1" applyBorder="1" applyAlignment="1">
      <alignment horizontal="center" vertical="center" wrapText="1"/>
    </xf>
    <xf numFmtId="164" fontId="20" fillId="2" borderId="2" xfId="0" applyNumberFormat="1" applyFont="1" applyFill="1" applyBorder="1" applyAlignment="1">
      <alignment horizontal="left" vertical="top"/>
    </xf>
    <xf numFmtId="164" fontId="20" fillId="2" borderId="24" xfId="0" applyNumberFormat="1" applyFont="1" applyFill="1" applyBorder="1" applyAlignment="1">
      <alignment horizontal="left" vertical="top"/>
    </xf>
    <xf numFmtId="0" fontId="31" fillId="15" borderId="98" xfId="0" applyFont="1" applyFill="1" applyBorder="1" applyAlignment="1">
      <alignment horizontal="center" vertical="center" wrapText="1"/>
    </xf>
    <xf numFmtId="164" fontId="31" fillId="15" borderId="108" xfId="0" applyNumberFormat="1" applyFont="1" applyFill="1" applyBorder="1" applyAlignment="1">
      <alignment horizontal="center" vertical="center"/>
    </xf>
    <xf numFmtId="164" fontId="31" fillId="15" borderId="0" xfId="0" applyNumberFormat="1" applyFont="1" applyFill="1" applyAlignment="1">
      <alignment horizontal="center" vertical="center"/>
    </xf>
    <xf numFmtId="164" fontId="28" fillId="0" borderId="79" xfId="0" applyNumberFormat="1" applyFont="1" applyBorder="1" applyAlignment="1">
      <alignment horizontal="left" vertical="top" wrapText="1"/>
    </xf>
    <xf numFmtId="0" fontId="36" fillId="14" borderId="160" xfId="0" applyFont="1" applyFill="1" applyBorder="1" applyAlignment="1">
      <alignment horizontal="center" vertical="center" wrapText="1"/>
    </xf>
    <xf numFmtId="164" fontId="28" fillId="2" borderId="158" xfId="0" applyNumberFormat="1" applyFont="1" applyFill="1" applyBorder="1" applyAlignment="1">
      <alignment horizontal="left" vertical="top" wrapText="1"/>
    </xf>
    <xf numFmtId="164" fontId="28" fillId="0" borderId="158" xfId="0" applyNumberFormat="1" applyFont="1" applyBorder="1" applyAlignment="1">
      <alignment horizontal="left" vertical="top" wrapText="1"/>
    </xf>
    <xf numFmtId="0" fontId="28" fillId="0" borderId="162" xfId="0" applyFont="1" applyBorder="1" applyAlignment="1">
      <alignment horizontal="left" vertical="top" wrapText="1"/>
    </xf>
    <xf numFmtId="164" fontId="33" fillId="0" borderId="84" xfId="0" applyNumberFormat="1" applyFont="1" applyBorder="1" applyAlignment="1">
      <alignment horizontal="left" vertical="top" wrapText="1"/>
    </xf>
    <xf numFmtId="0" fontId="36" fillId="14" borderId="90" xfId="0" applyFont="1" applyFill="1" applyBorder="1" applyAlignment="1">
      <alignment horizontal="center" vertical="center" wrapText="1"/>
    </xf>
    <xf numFmtId="0" fontId="36" fillId="14" borderId="37" xfId="0" applyFont="1" applyFill="1" applyBorder="1" applyAlignment="1">
      <alignment horizontal="center" vertical="center" wrapText="1"/>
    </xf>
    <xf numFmtId="0" fontId="36" fillId="14" borderId="9" xfId="0" applyFont="1" applyFill="1" applyBorder="1" applyAlignment="1">
      <alignment horizontal="center" vertical="center" wrapText="1"/>
    </xf>
    <xf numFmtId="0" fontId="22" fillId="15" borderId="92" xfId="0" applyFont="1" applyFill="1" applyBorder="1" applyAlignment="1">
      <alignment horizontal="center" vertical="center" wrapText="1"/>
    </xf>
    <xf numFmtId="0" fontId="22" fillId="15" borderId="79" xfId="0" applyFont="1" applyFill="1" applyBorder="1" applyAlignment="1">
      <alignment horizontal="center" vertical="center" wrapText="1"/>
    </xf>
    <xf numFmtId="0" fontId="54" fillId="15" borderId="164" xfId="0" applyFont="1" applyFill="1" applyBorder="1" applyAlignment="1">
      <alignment horizontal="center" vertical="center" wrapText="1"/>
    </xf>
    <xf numFmtId="0" fontId="22" fillId="2" borderId="92" xfId="0" applyFont="1" applyFill="1" applyBorder="1" applyAlignment="1">
      <alignment horizontal="center" vertical="center"/>
    </xf>
    <xf numFmtId="2" fontId="22" fillId="8" borderId="79" xfId="0" applyNumberFormat="1" applyFont="1" applyFill="1" applyBorder="1" applyAlignment="1">
      <alignment horizontal="center" vertical="center"/>
    </xf>
    <xf numFmtId="0" fontId="30" fillId="2" borderId="164" xfId="0" applyFont="1" applyFill="1" applyBorder="1" applyAlignment="1">
      <alignment vertical="center" wrapText="1"/>
    </xf>
    <xf numFmtId="0" fontId="30" fillId="2" borderId="164" xfId="0" applyFont="1" applyFill="1" applyBorder="1" applyAlignment="1">
      <alignment horizontal="center" vertical="center" wrapText="1"/>
    </xf>
    <xf numFmtId="0" fontId="22" fillId="2" borderId="157" xfId="0" applyFont="1" applyFill="1" applyBorder="1" applyAlignment="1">
      <alignment horizontal="center" vertical="center"/>
    </xf>
    <xf numFmtId="2" fontId="22" fillId="8" borderId="158" xfId="0" applyNumberFormat="1" applyFont="1" applyFill="1" applyBorder="1" applyAlignment="1">
      <alignment horizontal="center" vertical="center"/>
    </xf>
    <xf numFmtId="0" fontId="30" fillId="2" borderId="165" xfId="0" applyFont="1" applyFill="1" applyBorder="1" applyAlignment="1">
      <alignment horizontal="center" vertical="center" wrapText="1"/>
    </xf>
    <xf numFmtId="0" fontId="29" fillId="14" borderId="133" xfId="0" applyFont="1" applyFill="1" applyBorder="1" applyAlignment="1">
      <alignment horizontal="center" vertical="center" wrapText="1"/>
    </xf>
    <xf numFmtId="0" fontId="14" fillId="8" borderId="134" xfId="0" applyFont="1" applyFill="1" applyBorder="1" applyAlignment="1">
      <alignment horizontal="center" vertical="center"/>
    </xf>
    <xf numFmtId="0" fontId="29" fillId="9" borderId="134" xfId="0" applyFont="1" applyFill="1" applyBorder="1" applyAlignment="1">
      <alignment horizontal="center" vertical="center" wrapText="1"/>
    </xf>
    <xf numFmtId="0" fontId="14" fillId="8" borderId="135" xfId="0" applyFont="1" applyFill="1" applyBorder="1" applyAlignment="1">
      <alignment horizontal="center" vertical="center"/>
    </xf>
    <xf numFmtId="0" fontId="36" fillId="9" borderId="85" xfId="0" applyFont="1" applyFill="1" applyBorder="1" applyAlignment="1">
      <alignment vertical="center" wrapText="1"/>
    </xf>
    <xf numFmtId="0" fontId="36" fillId="9" borderId="166" xfId="0" applyFont="1" applyFill="1" applyBorder="1" applyAlignment="1">
      <alignment horizontal="center" vertical="center" wrapText="1"/>
    </xf>
    <xf numFmtId="0" fontId="19" fillId="0" borderId="91" xfId="0" applyFont="1" applyBorder="1" applyAlignment="1">
      <alignment vertical="top" wrapText="1"/>
    </xf>
    <xf numFmtId="0" fontId="20" fillId="2" borderId="162" xfId="0" applyFont="1" applyFill="1" applyBorder="1" applyAlignment="1">
      <alignment horizontal="left" vertical="top" wrapText="1"/>
    </xf>
    <xf numFmtId="164" fontId="20" fillId="2" borderId="162" xfId="0" applyNumberFormat="1" applyFont="1" applyFill="1" applyBorder="1" applyAlignment="1">
      <alignment horizontal="left" vertical="top" wrapText="1"/>
    </xf>
    <xf numFmtId="164" fontId="20" fillId="2" borderId="162" xfId="0" applyNumberFormat="1" applyFont="1" applyFill="1" applyBorder="1" applyAlignment="1">
      <alignment vertical="top" wrapText="1"/>
    </xf>
    <xf numFmtId="0" fontId="19" fillId="0" borderId="92" xfId="0" applyFont="1" applyBorder="1" applyAlignment="1">
      <alignment vertical="top" wrapText="1"/>
    </xf>
    <xf numFmtId="164" fontId="20" fillId="2" borderId="79" xfId="0" applyNumberFormat="1" applyFont="1" applyFill="1" applyBorder="1" applyAlignment="1">
      <alignment horizontal="left" vertical="top" wrapText="1"/>
    </xf>
    <xf numFmtId="164" fontId="20" fillId="2" borderId="79" xfId="0" applyNumberFormat="1" applyFont="1" applyFill="1" applyBorder="1" applyAlignment="1">
      <alignment vertical="top" wrapText="1"/>
    </xf>
    <xf numFmtId="0" fontId="32" fillId="0" borderId="92" xfId="0" applyFont="1" applyBorder="1" applyAlignment="1">
      <alignment vertical="top" wrapText="1"/>
    </xf>
    <xf numFmtId="0" fontId="28" fillId="0" borderId="79" xfId="0" applyFont="1" applyBorder="1" applyAlignment="1">
      <alignment horizontal="left" vertical="top" wrapText="1"/>
    </xf>
    <xf numFmtId="164" fontId="28" fillId="0" borderId="79" xfId="0" applyNumberFormat="1" applyFont="1" applyBorder="1" applyAlignment="1">
      <alignment vertical="top" wrapText="1"/>
    </xf>
    <xf numFmtId="0" fontId="32" fillId="0" borderId="157" xfId="0" applyFont="1" applyBorder="1" applyAlignment="1">
      <alignment vertical="top" wrapText="1"/>
    </xf>
    <xf numFmtId="0" fontId="28" fillId="0" borderId="158" xfId="0" applyFont="1" applyBorder="1" applyAlignment="1">
      <alignment horizontal="left" vertical="top" wrapText="1"/>
    </xf>
    <xf numFmtId="164" fontId="28" fillId="0" borderId="158" xfId="0" applyNumberFormat="1" applyFont="1" applyBorder="1" applyAlignment="1">
      <alignment vertical="top" wrapText="1"/>
    </xf>
    <xf numFmtId="164" fontId="19" fillId="15" borderId="162" xfId="0" applyNumberFormat="1" applyFont="1" applyFill="1" applyBorder="1" applyAlignment="1">
      <alignment horizontal="center" vertical="center"/>
    </xf>
    <xf numFmtId="164" fontId="19" fillId="15" borderId="79" xfId="0" applyNumberFormat="1" applyFont="1" applyFill="1" applyBorder="1" applyAlignment="1">
      <alignment horizontal="center" vertical="center"/>
    </xf>
    <xf numFmtId="164" fontId="32" fillId="15" borderId="79" xfId="0" applyNumberFormat="1" applyFont="1" applyFill="1" applyBorder="1" applyAlignment="1">
      <alignment horizontal="center" vertical="center"/>
    </xf>
    <xf numFmtId="164" fontId="32" fillId="15" borderId="158" xfId="0" applyNumberFormat="1" applyFont="1" applyFill="1" applyBorder="1" applyAlignment="1">
      <alignment horizontal="center" vertical="center"/>
    </xf>
    <xf numFmtId="164" fontId="19" fillId="15" borderId="162" xfId="0" applyNumberFormat="1" applyFont="1" applyFill="1" applyBorder="1" applyAlignment="1">
      <alignment horizontal="center" vertical="center" wrapText="1"/>
    </xf>
    <xf numFmtId="164" fontId="19" fillId="15" borderId="79" xfId="0" applyNumberFormat="1" applyFont="1" applyFill="1" applyBorder="1" applyAlignment="1">
      <alignment horizontal="center" vertical="center" wrapText="1"/>
    </xf>
    <xf numFmtId="164" fontId="32" fillId="15" borderId="79" xfId="0" applyNumberFormat="1" applyFont="1" applyFill="1" applyBorder="1" applyAlignment="1">
      <alignment horizontal="center" vertical="center" wrapText="1"/>
    </xf>
    <xf numFmtId="164" fontId="32" fillId="15" borderId="158" xfId="0" applyNumberFormat="1" applyFont="1" applyFill="1" applyBorder="1" applyAlignment="1">
      <alignment horizontal="center" vertical="center" wrapText="1"/>
    </xf>
    <xf numFmtId="164" fontId="19" fillId="15" borderId="163" xfId="0" applyNumberFormat="1" applyFont="1" applyFill="1" applyBorder="1" applyAlignment="1">
      <alignment horizontal="center" vertical="center" wrapText="1"/>
    </xf>
    <xf numFmtId="164" fontId="19" fillId="15" borderId="164" xfId="0" applyNumberFormat="1" applyFont="1" applyFill="1" applyBorder="1" applyAlignment="1">
      <alignment horizontal="center" vertical="center" wrapText="1"/>
    </xf>
    <xf numFmtId="164" fontId="32" fillId="15" borderId="164" xfId="0" applyNumberFormat="1" applyFont="1" applyFill="1" applyBorder="1" applyAlignment="1">
      <alignment horizontal="center" vertical="center" wrapText="1"/>
    </xf>
    <xf numFmtId="164" fontId="32" fillId="15" borderId="165" xfId="0" applyNumberFormat="1" applyFont="1" applyFill="1" applyBorder="1" applyAlignment="1">
      <alignment horizontal="center" vertical="center" wrapText="1"/>
    </xf>
    <xf numFmtId="0" fontId="20" fillId="0" borderId="79" xfId="0" applyFont="1" applyBorder="1" applyAlignment="1">
      <alignment horizontal="left" vertical="top" wrapText="1"/>
    </xf>
    <xf numFmtId="0" fontId="32" fillId="0" borderId="91" xfId="0" applyFont="1" applyBorder="1" applyAlignment="1">
      <alignment vertical="top" wrapText="1"/>
    </xf>
    <xf numFmtId="164" fontId="32" fillId="15" borderId="162" xfId="0" applyNumberFormat="1" applyFont="1" applyFill="1" applyBorder="1" applyAlignment="1">
      <alignment horizontal="center" vertical="center"/>
    </xf>
    <xf numFmtId="164" fontId="28" fillId="0" borderId="162" xfId="0" applyNumberFormat="1" applyFont="1" applyBorder="1" applyAlignment="1">
      <alignment horizontal="left" vertical="top" wrapText="1"/>
    </xf>
    <xf numFmtId="164" fontId="28" fillId="0" borderId="162" xfId="0" applyNumberFormat="1" applyFont="1" applyBorder="1" applyAlignment="1">
      <alignment vertical="top" wrapText="1"/>
    </xf>
    <xf numFmtId="164" fontId="32" fillId="15" borderId="162" xfId="0" applyNumberFormat="1" applyFont="1" applyFill="1" applyBorder="1" applyAlignment="1">
      <alignment horizontal="center" vertical="center" wrapText="1"/>
    </xf>
    <xf numFmtId="164" fontId="28" fillId="0" borderId="103" xfId="0" applyNumberFormat="1" applyFont="1" applyBorder="1" applyAlignment="1">
      <alignment horizontal="left" vertical="top" wrapText="1"/>
    </xf>
    <xf numFmtId="164" fontId="28" fillId="0" borderId="104" xfId="0" applyNumberFormat="1" applyFont="1" applyBorder="1" applyAlignment="1">
      <alignment horizontal="left" vertical="top" wrapText="1"/>
    </xf>
    <xf numFmtId="164" fontId="28" fillId="0" borderId="105" xfId="0" applyNumberFormat="1" applyFont="1" applyBorder="1" applyAlignment="1">
      <alignment horizontal="left" vertical="top" wrapText="1"/>
    </xf>
    <xf numFmtId="164" fontId="32" fillId="15" borderId="104" xfId="0" applyNumberFormat="1" applyFont="1" applyFill="1" applyBorder="1" applyAlignment="1">
      <alignment horizontal="center" vertical="center" wrapText="1"/>
    </xf>
    <xf numFmtId="164" fontId="32" fillId="13" borderId="168" xfId="0" applyNumberFormat="1" applyFont="1" applyFill="1" applyBorder="1" applyAlignment="1">
      <alignment horizontal="center" vertical="center"/>
    </xf>
    <xf numFmtId="164" fontId="32" fillId="13" borderId="119" xfId="0" applyNumberFormat="1" applyFont="1" applyFill="1" applyBorder="1" applyAlignment="1">
      <alignment horizontal="center" vertical="center"/>
    </xf>
    <xf numFmtId="164" fontId="32" fillId="13" borderId="126" xfId="0" applyNumberFormat="1" applyFont="1" applyFill="1" applyBorder="1" applyAlignment="1">
      <alignment horizontal="center" vertical="center"/>
    </xf>
    <xf numFmtId="164" fontId="32" fillId="15" borderId="133" xfId="0" applyNumberFormat="1" applyFont="1" applyFill="1" applyBorder="1" applyAlignment="1">
      <alignment horizontal="center" vertical="center" wrapText="1"/>
    </xf>
    <xf numFmtId="164" fontId="32" fillId="15" borderId="134" xfId="0" applyNumberFormat="1" applyFont="1" applyFill="1" applyBorder="1" applyAlignment="1">
      <alignment horizontal="center" vertical="center" wrapText="1"/>
    </xf>
    <xf numFmtId="164" fontId="32" fillId="15" borderId="135" xfId="0" applyNumberFormat="1" applyFont="1" applyFill="1" applyBorder="1" applyAlignment="1">
      <alignment horizontal="center" vertical="center" wrapText="1"/>
    </xf>
    <xf numFmtId="164" fontId="32" fillId="13" borderId="133" xfId="0" applyNumberFormat="1" applyFont="1" applyFill="1" applyBorder="1" applyAlignment="1">
      <alignment horizontal="center" vertical="center"/>
    </xf>
    <xf numFmtId="164" fontId="32" fillId="13" borderId="134" xfId="0" applyNumberFormat="1" applyFont="1" applyFill="1" applyBorder="1" applyAlignment="1">
      <alignment horizontal="center" vertical="center"/>
    </xf>
    <xf numFmtId="164" fontId="32" fillId="13" borderId="135" xfId="0" applyNumberFormat="1" applyFont="1" applyFill="1" applyBorder="1" applyAlignment="1">
      <alignment horizontal="center" vertical="center"/>
    </xf>
    <xf numFmtId="0" fontId="32" fillId="0" borderId="91" xfId="0" applyFont="1" applyBorder="1" applyAlignment="1">
      <alignment vertical="top"/>
    </xf>
    <xf numFmtId="0" fontId="32" fillId="0" borderId="92" xfId="0" applyFont="1" applyBorder="1" applyAlignment="1">
      <alignment vertical="top"/>
    </xf>
    <xf numFmtId="0" fontId="28" fillId="0" borderId="79" xfId="0" applyFont="1" applyBorder="1" applyAlignment="1">
      <alignment vertical="top" wrapText="1"/>
    </xf>
    <xf numFmtId="164" fontId="28" fillId="0" borderId="79" xfId="0" applyNumberFormat="1" applyFont="1" applyBorder="1" applyAlignment="1">
      <alignment horizontal="left" vertical="top"/>
    </xf>
    <xf numFmtId="0" fontId="28" fillId="2" borderId="79" xfId="0" applyFont="1" applyFill="1" applyBorder="1" applyAlignment="1">
      <alignment horizontal="left" vertical="top" wrapText="1"/>
    </xf>
    <xf numFmtId="164" fontId="28" fillId="2" borderId="79" xfId="0" applyNumberFormat="1" applyFont="1" applyFill="1" applyBorder="1" applyAlignment="1">
      <alignment horizontal="left" vertical="top" wrapText="1"/>
    </xf>
    <xf numFmtId="164" fontId="28" fillId="2" borderId="79" xfId="0" applyNumberFormat="1" applyFont="1" applyFill="1" applyBorder="1" applyAlignment="1">
      <alignment vertical="top" wrapText="1"/>
    </xf>
    <xf numFmtId="0" fontId="28" fillId="2" borderId="158" xfId="0" applyFont="1" applyFill="1" applyBorder="1" applyAlignment="1">
      <alignment vertical="top" wrapText="1"/>
    </xf>
    <xf numFmtId="164" fontId="28" fillId="2" borderId="158" xfId="0" applyNumberFormat="1" applyFont="1" applyFill="1" applyBorder="1" applyAlignment="1">
      <alignment vertical="top" wrapText="1"/>
    </xf>
    <xf numFmtId="0" fontId="28" fillId="0" borderId="104" xfId="0" applyFont="1" applyBorder="1" applyAlignment="1">
      <alignment horizontal="left" vertical="top" wrapText="1"/>
    </xf>
    <xf numFmtId="164" fontId="28" fillId="0" borderId="104" xfId="0" applyNumberFormat="1" applyFont="1" applyBorder="1" applyAlignment="1">
      <alignment horizontal="left" vertical="top"/>
    </xf>
    <xf numFmtId="0" fontId="28" fillId="2" borderId="104" xfId="0" applyFont="1" applyFill="1" applyBorder="1" applyAlignment="1">
      <alignment horizontal="left" vertical="top" wrapText="1"/>
    </xf>
    <xf numFmtId="0" fontId="28" fillId="2" borderId="105" xfId="0" applyFont="1" applyFill="1" applyBorder="1" applyAlignment="1">
      <alignment horizontal="left" vertical="top" wrapText="1"/>
    </xf>
    <xf numFmtId="164" fontId="32" fillId="15" borderId="163" xfId="0" applyNumberFormat="1" applyFont="1" applyFill="1" applyBorder="1" applyAlignment="1">
      <alignment horizontal="center" vertical="center" wrapText="1"/>
    </xf>
    <xf numFmtId="164" fontId="20" fillId="0" borderId="79" xfId="0" applyNumberFormat="1" applyFont="1" applyBorder="1" applyAlignment="1">
      <alignment vertical="top" wrapText="1"/>
    </xf>
    <xf numFmtId="164" fontId="20" fillId="0" borderId="79" xfId="0" applyNumberFormat="1" applyFont="1" applyBorder="1" applyAlignment="1">
      <alignment horizontal="left" vertical="top" wrapText="1"/>
    </xf>
    <xf numFmtId="0" fontId="24" fillId="13" borderId="107" xfId="0" applyFont="1" applyFill="1" applyBorder="1" applyAlignment="1">
      <alignment horizontal="center" vertical="center"/>
    </xf>
    <xf numFmtId="164" fontId="28" fillId="0" borderId="163" xfId="0" applyNumberFormat="1" applyFont="1" applyBorder="1" applyAlignment="1">
      <alignment horizontal="left" vertical="top" wrapText="1"/>
    </xf>
    <xf numFmtId="164" fontId="28" fillId="0" borderId="165" xfId="0" applyNumberFormat="1" applyFont="1" applyBorder="1" applyAlignment="1">
      <alignment horizontal="left" vertical="top" wrapText="1"/>
    </xf>
    <xf numFmtId="0" fontId="32" fillId="0" borderId="159" xfId="0" applyFont="1" applyBorder="1" applyAlignment="1">
      <alignment vertical="top" wrapText="1"/>
    </xf>
    <xf numFmtId="0" fontId="28" fillId="0" borderId="80" xfId="0" applyFont="1" applyBorder="1" applyAlignment="1">
      <alignment horizontal="left" vertical="top" wrapText="1"/>
    </xf>
    <xf numFmtId="164" fontId="32" fillId="15" borderId="80" xfId="0" applyNumberFormat="1" applyFont="1" applyFill="1" applyBorder="1" applyAlignment="1">
      <alignment horizontal="center" vertical="center"/>
    </xf>
    <xf numFmtId="164" fontId="28" fillId="0" borderId="80" xfId="0" applyNumberFormat="1" applyFont="1" applyBorder="1" applyAlignment="1">
      <alignment horizontal="left" vertical="top" wrapText="1"/>
    </xf>
    <xf numFmtId="164" fontId="28" fillId="0" borderId="80" xfId="0" applyNumberFormat="1" applyFont="1" applyBorder="1" applyAlignment="1">
      <alignment vertical="top" wrapText="1"/>
    </xf>
    <xf numFmtId="164" fontId="32" fillId="15" borderId="80" xfId="0" applyNumberFormat="1" applyFont="1" applyFill="1" applyBorder="1" applyAlignment="1">
      <alignment horizontal="center" vertical="center" wrapText="1"/>
    </xf>
    <xf numFmtId="0" fontId="20" fillId="2" borderId="79" xfId="0" applyFont="1" applyFill="1" applyBorder="1" applyAlignment="1">
      <alignment horizontal="left" vertical="top" wrapText="1"/>
    </xf>
    <xf numFmtId="164" fontId="28" fillId="2" borderId="79" xfId="0" quotePrefix="1" applyNumberFormat="1" applyFont="1" applyFill="1" applyBorder="1" applyAlignment="1">
      <alignment horizontal="left" vertical="top" wrapText="1"/>
    </xf>
    <xf numFmtId="0" fontId="20" fillId="0" borderId="158" xfId="0" applyFont="1" applyBorder="1" applyAlignment="1">
      <alignment horizontal="left" vertical="top" wrapText="1"/>
    </xf>
    <xf numFmtId="164" fontId="19" fillId="15" borderId="158" xfId="0" applyNumberFormat="1" applyFont="1" applyFill="1" applyBorder="1" applyAlignment="1">
      <alignment horizontal="center" vertical="center"/>
    </xf>
    <xf numFmtId="164" fontId="19" fillId="13" borderId="133" xfId="0" applyNumberFormat="1" applyFont="1" applyFill="1" applyBorder="1" applyAlignment="1">
      <alignment horizontal="center" vertical="center"/>
    </xf>
    <xf numFmtId="164" fontId="19" fillId="13" borderId="134" xfId="0" applyNumberFormat="1" applyFont="1" applyFill="1" applyBorder="1" applyAlignment="1">
      <alignment horizontal="center" vertical="center"/>
    </xf>
    <xf numFmtId="164" fontId="19" fillId="15" borderId="103" xfId="0" applyNumberFormat="1" applyFont="1" applyFill="1" applyBorder="1" applyAlignment="1">
      <alignment horizontal="center" vertical="center" wrapText="1"/>
    </xf>
    <xf numFmtId="164" fontId="19" fillId="15" borderId="104" xfId="0" applyNumberFormat="1" applyFont="1" applyFill="1" applyBorder="1" applyAlignment="1">
      <alignment horizontal="center" vertical="center" wrapText="1"/>
    </xf>
    <xf numFmtId="164" fontId="32" fillId="15" borderId="140" xfId="0" applyNumberFormat="1" applyFont="1" applyFill="1" applyBorder="1" applyAlignment="1">
      <alignment horizontal="center" vertical="center" wrapText="1"/>
    </xf>
    <xf numFmtId="164" fontId="19" fillId="13" borderId="137" xfId="0" applyNumberFormat="1" applyFont="1" applyFill="1" applyBorder="1" applyAlignment="1">
      <alignment horizontal="center" vertical="center"/>
    </xf>
    <xf numFmtId="0" fontId="36" fillId="9" borderId="85" xfId="0" applyFont="1" applyFill="1" applyBorder="1" applyAlignment="1">
      <alignment horizontal="center" vertical="center" wrapText="1"/>
    </xf>
    <xf numFmtId="0" fontId="29" fillId="9" borderId="133" xfId="0" applyFont="1" applyFill="1" applyBorder="1" applyAlignment="1">
      <alignment horizontal="center" vertical="center" wrapText="1"/>
    </xf>
    <xf numFmtId="0" fontId="31" fillId="13" borderId="98" xfId="0" applyFont="1" applyFill="1" applyBorder="1" applyAlignment="1">
      <alignment horizontal="center" vertical="center" wrapText="1"/>
    </xf>
    <xf numFmtId="164" fontId="19" fillId="13" borderId="135" xfId="0" applyNumberFormat="1" applyFont="1" applyFill="1" applyBorder="1" applyAlignment="1">
      <alignment horizontal="center" vertical="center"/>
    </xf>
    <xf numFmtId="164" fontId="20" fillId="0" borderId="2" xfId="0" applyNumberFormat="1" applyFont="1" applyBorder="1" applyAlignment="1">
      <alignment vertical="top" wrapText="1"/>
    </xf>
    <xf numFmtId="0" fontId="20" fillId="2" borderId="158" xfId="0" applyFont="1" applyFill="1" applyBorder="1" applyAlignment="1">
      <alignment vertical="top" wrapText="1"/>
    </xf>
    <xf numFmtId="0" fontId="19" fillId="0" borderId="157" xfId="0" applyFont="1" applyBorder="1" applyAlignment="1">
      <alignment vertical="top" wrapText="1"/>
    </xf>
    <xf numFmtId="2" fontId="79" fillId="17" borderId="94" xfId="0" applyNumberFormat="1" applyFont="1" applyFill="1" applyBorder="1" applyAlignment="1">
      <alignment horizontal="center" vertical="center"/>
    </xf>
    <xf numFmtId="0" fontId="22" fillId="15" borderId="108" xfId="0" applyFont="1" applyFill="1" applyBorder="1" applyAlignment="1">
      <alignment vertical="center" wrapText="1"/>
    </xf>
    <xf numFmtId="0" fontId="22" fillId="15" borderId="98" xfId="0" applyFont="1" applyFill="1" applyBorder="1" applyAlignment="1">
      <alignment vertical="center" wrapText="1"/>
    </xf>
    <xf numFmtId="0" fontId="22" fillId="15" borderId="107" xfId="0" applyFont="1" applyFill="1" applyBorder="1" applyAlignment="1">
      <alignment vertical="center" wrapText="1"/>
    </xf>
    <xf numFmtId="164" fontId="15" fillId="15" borderId="84" xfId="0" applyNumberFormat="1" applyFont="1" applyFill="1" applyBorder="1" applyAlignment="1">
      <alignment horizontal="center" vertical="center"/>
    </xf>
    <xf numFmtId="164" fontId="14" fillId="2" borderId="0" xfId="0" applyNumberFormat="1" applyFont="1" applyFill="1" applyAlignment="1">
      <alignment horizontal="center" vertical="center"/>
    </xf>
    <xf numFmtId="10" fontId="16" fillId="2" borderId="0" xfId="0" applyNumberFormat="1" applyFont="1" applyFill="1" applyAlignment="1">
      <alignment horizontal="center"/>
    </xf>
    <xf numFmtId="0" fontId="31" fillId="0" borderId="103" xfId="0" applyFont="1" applyBorder="1" applyAlignment="1">
      <alignment vertical="center" wrapText="1"/>
    </xf>
    <xf numFmtId="0" fontId="31" fillId="0" borderId="104" xfId="0" applyFont="1" applyBorder="1" applyAlignment="1">
      <alignment vertical="center" wrapText="1"/>
    </xf>
    <xf numFmtId="0" fontId="24" fillId="0" borderId="100" xfId="0" applyFont="1" applyBorder="1" applyAlignment="1">
      <alignment vertical="center"/>
    </xf>
    <xf numFmtId="0" fontId="24" fillId="0" borderId="104" xfId="0" applyFont="1" applyBorder="1" applyAlignment="1">
      <alignment vertical="center" wrapText="1"/>
    </xf>
    <xf numFmtId="0" fontId="31" fillId="0" borderId="100" xfId="0" applyFont="1" applyBorder="1" applyAlignment="1">
      <alignment vertical="center"/>
    </xf>
    <xf numFmtId="0" fontId="24" fillId="0" borderId="101" xfId="0" applyFont="1" applyBorder="1" applyAlignment="1">
      <alignment vertical="center"/>
    </xf>
    <xf numFmtId="0" fontId="24" fillId="0" borderId="105" xfId="0" applyFont="1" applyBorder="1" applyAlignment="1">
      <alignment vertical="center" wrapText="1"/>
    </xf>
    <xf numFmtId="0" fontId="31" fillId="0" borderId="106" xfId="0" applyFont="1" applyBorder="1" applyAlignment="1">
      <alignment vertical="center" wrapText="1"/>
    </xf>
    <xf numFmtId="0" fontId="31" fillId="0" borderId="102" xfId="0" applyFont="1" applyBorder="1" applyAlignment="1">
      <alignment vertical="center" wrapText="1"/>
    </xf>
    <xf numFmtId="0" fontId="31" fillId="8" borderId="85" xfId="3" applyFont="1" applyFill="1" applyBorder="1" applyAlignment="1">
      <alignment horizontal="center" vertical="center" wrapText="1"/>
    </xf>
    <xf numFmtId="0" fontId="31" fillId="0" borderId="110" xfId="0" applyFont="1" applyBorder="1" applyAlignment="1">
      <alignment vertical="center"/>
    </xf>
    <xf numFmtId="0" fontId="31" fillId="0" borderId="111" xfId="0" applyFont="1" applyBorder="1" applyAlignment="1">
      <alignment vertical="center"/>
    </xf>
    <xf numFmtId="0" fontId="31" fillId="0" borderId="112" xfId="0" applyFont="1" applyBorder="1" applyAlignment="1">
      <alignment vertical="center"/>
    </xf>
    <xf numFmtId="0" fontId="31" fillId="0" borderId="113" xfId="0" applyFont="1" applyBorder="1" applyAlignment="1">
      <alignment vertical="center"/>
    </xf>
    <xf numFmtId="0" fontId="24" fillId="8" borderId="85" xfId="1" applyFont="1" applyFill="1" applyBorder="1" applyAlignment="1" applyProtection="1">
      <alignment horizontal="center" vertical="center" wrapText="1"/>
    </xf>
    <xf numFmtId="0" fontId="31" fillId="0" borderId="114" xfId="0" applyFont="1" applyBorder="1" applyAlignment="1">
      <alignment vertical="center"/>
    </xf>
    <xf numFmtId="0" fontId="31" fillId="0" borderId="115" xfId="0" applyFont="1" applyBorder="1" applyAlignment="1">
      <alignment vertical="center"/>
    </xf>
    <xf numFmtId="0" fontId="31" fillId="0" borderId="116" xfId="0" applyFont="1" applyBorder="1" applyAlignment="1">
      <alignment vertical="center"/>
    </xf>
    <xf numFmtId="0" fontId="31" fillId="0" borderId="117" xfId="0" applyFont="1" applyBorder="1" applyAlignment="1">
      <alignment vertical="center"/>
    </xf>
    <xf numFmtId="0" fontId="31" fillId="0" borderId="118" xfId="0" applyFont="1" applyBorder="1" applyAlignment="1">
      <alignment vertical="center"/>
    </xf>
    <xf numFmtId="0" fontId="31" fillId="0" borderId="119" xfId="0" applyFont="1" applyBorder="1" applyAlignment="1">
      <alignment vertical="center"/>
    </xf>
    <xf numFmtId="0" fontId="31" fillId="0" borderId="124" xfId="0" applyFont="1" applyBorder="1" applyAlignment="1">
      <alignment vertical="center"/>
    </xf>
    <xf numFmtId="0" fontId="31" fillId="0" borderId="120" xfId="0" applyFont="1" applyBorder="1" applyAlignment="1">
      <alignment vertical="center"/>
    </xf>
    <xf numFmtId="0" fontId="31" fillId="2" borderId="120" xfId="0" applyFont="1" applyFill="1" applyBorder="1" applyAlignment="1">
      <alignment vertical="center"/>
    </xf>
    <xf numFmtId="0" fontId="31" fillId="2" borderId="113" xfId="0" applyFont="1" applyFill="1" applyBorder="1" applyAlignment="1">
      <alignment vertical="center" wrapText="1"/>
    </xf>
    <xf numFmtId="0" fontId="31" fillId="0" borderId="113" xfId="0" applyFont="1" applyBorder="1" applyAlignment="1">
      <alignment vertical="center" wrapText="1"/>
    </xf>
    <xf numFmtId="0" fontId="24" fillId="0" borderId="125" xfId="0" applyFont="1" applyBorder="1" applyAlignment="1">
      <alignment vertical="center"/>
    </xf>
    <xf numFmtId="0" fontId="24" fillId="0" borderId="126" xfId="0" applyFont="1" applyBorder="1" applyAlignment="1">
      <alignment vertical="center"/>
    </xf>
    <xf numFmtId="0" fontId="31" fillId="0" borderId="127" xfId="0" applyFont="1" applyBorder="1" applyAlignment="1">
      <alignment vertical="center"/>
    </xf>
    <xf numFmtId="0" fontId="31" fillId="0" borderId="128" xfId="0" applyFont="1" applyBorder="1" applyAlignment="1">
      <alignment vertical="center"/>
    </xf>
    <xf numFmtId="0" fontId="24" fillId="0" borderId="118" xfId="0" applyFont="1" applyBorder="1" applyAlignment="1">
      <alignment vertical="center"/>
    </xf>
    <xf numFmtId="0" fontId="24" fillId="0" borderId="122" xfId="0" applyFont="1" applyBorder="1" applyAlignment="1">
      <alignment vertical="center"/>
    </xf>
    <xf numFmtId="0" fontId="24" fillId="0" borderId="122" xfId="0" applyFont="1" applyBorder="1" applyAlignment="1">
      <alignment vertical="center" wrapText="1"/>
    </xf>
    <xf numFmtId="0" fontId="24" fillId="0" borderId="129" xfId="0" applyFont="1" applyBorder="1" applyAlignment="1">
      <alignment vertical="center"/>
    </xf>
    <xf numFmtId="0" fontId="24" fillId="0" borderId="126" xfId="0" applyFont="1" applyBorder="1" applyAlignment="1">
      <alignment vertical="center" wrapText="1"/>
    </xf>
    <xf numFmtId="0" fontId="31" fillId="2" borderId="98" xfId="0" applyFont="1" applyFill="1" applyBorder="1"/>
    <xf numFmtId="0" fontId="31" fillId="2" borderId="107" xfId="0" applyFont="1" applyFill="1" applyBorder="1"/>
    <xf numFmtId="0" fontId="31" fillId="8" borderId="1" xfId="3" applyFont="1" applyFill="1" applyAlignment="1">
      <alignment horizontal="center" vertical="center" wrapText="1"/>
    </xf>
    <xf numFmtId="0" fontId="31" fillId="2" borderId="0" xfId="0" applyFont="1" applyFill="1"/>
    <xf numFmtId="0" fontId="31" fillId="2" borderId="0" xfId="0" applyFont="1" applyFill="1" applyAlignment="1">
      <alignment vertical="top"/>
    </xf>
    <xf numFmtId="0" fontId="31" fillId="2" borderId="0" xfId="0" applyFont="1" applyFill="1" applyAlignment="1">
      <alignment vertical="top" wrapText="1"/>
    </xf>
    <xf numFmtId="0" fontId="44" fillId="2" borderId="0" xfId="0" applyFont="1" applyFill="1"/>
    <xf numFmtId="0" fontId="15" fillId="18" borderId="72" xfId="0" applyFont="1" applyFill="1" applyBorder="1" applyAlignment="1">
      <alignment vertical="center"/>
    </xf>
    <xf numFmtId="0" fontId="23" fillId="0" borderId="72" xfId="0" applyFont="1" applyBorder="1" applyAlignment="1">
      <alignment horizontal="center" vertical="center"/>
    </xf>
    <xf numFmtId="0" fontId="24" fillId="2" borderId="77" xfId="0" applyFont="1" applyFill="1" applyBorder="1" applyAlignment="1">
      <alignment vertical="center"/>
    </xf>
    <xf numFmtId="0" fontId="24" fillId="2" borderId="76" xfId="0" applyFont="1" applyFill="1" applyBorder="1" applyAlignment="1">
      <alignment vertical="center"/>
    </xf>
    <xf numFmtId="0" fontId="24" fillId="2" borderId="78" xfId="0" applyFont="1" applyFill="1" applyBorder="1" applyAlignment="1">
      <alignment vertical="center"/>
    </xf>
    <xf numFmtId="0" fontId="2" fillId="19" borderId="72" xfId="3" applyFont="1" applyFill="1" applyBorder="1">
      <alignment horizontal="center" vertical="top" wrapText="1"/>
    </xf>
    <xf numFmtId="0" fontId="24" fillId="20" borderId="72" xfId="0" applyFont="1" applyFill="1" applyBorder="1"/>
    <xf numFmtId="0" fontId="23" fillId="0" borderId="72" xfId="0" applyFont="1" applyBorder="1" applyAlignment="1">
      <alignment horizontal="center" vertical="center" wrapText="1"/>
    </xf>
    <xf numFmtId="0" fontId="24" fillId="20" borderId="72" xfId="0" applyFont="1" applyFill="1" applyBorder="1" applyAlignment="1" applyProtection="1">
      <alignment horizontal="center" vertical="center"/>
      <protection locked="0"/>
    </xf>
    <xf numFmtId="0" fontId="24" fillId="20" borderId="72" xfId="0" applyFont="1" applyFill="1" applyBorder="1" applyAlignment="1" applyProtection="1">
      <alignment horizontal="center" vertical="center" wrapText="1"/>
      <protection locked="0"/>
    </xf>
    <xf numFmtId="0" fontId="23" fillId="2" borderId="0" xfId="0" applyFont="1" applyFill="1" applyAlignment="1">
      <alignment vertical="center"/>
    </xf>
    <xf numFmtId="49" fontId="24" fillId="2" borderId="72" xfId="0" quotePrefix="1" applyNumberFormat="1" applyFont="1" applyFill="1" applyBorder="1" applyAlignment="1" applyProtection="1">
      <alignment horizontal="left" vertical="center"/>
      <protection locked="0"/>
    </xf>
    <xf numFmtId="0" fontId="24" fillId="2" borderId="0" xfId="0" quotePrefix="1" applyFont="1" applyFill="1"/>
    <xf numFmtId="49" fontId="24" fillId="2" borderId="72" xfId="0" applyNumberFormat="1" applyFont="1" applyFill="1" applyBorder="1" applyAlignment="1" applyProtection="1">
      <alignment horizontal="left" vertical="center"/>
      <protection locked="0"/>
    </xf>
    <xf numFmtId="0" fontId="83" fillId="2" borderId="71" xfId="3" applyFont="1" applyFill="1" applyBorder="1" applyAlignment="1">
      <alignment horizontal="center" vertical="center" wrapText="1"/>
    </xf>
    <xf numFmtId="0" fontId="84" fillId="2" borderId="0" xfId="0" applyFont="1" applyFill="1" applyAlignment="1" applyProtection="1">
      <alignment horizontal="center" vertical="center"/>
      <protection locked="0"/>
    </xf>
    <xf numFmtId="0" fontId="15" fillId="18" borderId="73" xfId="0" applyFont="1" applyFill="1" applyBorder="1" applyAlignment="1">
      <alignment horizontal="center" vertical="center"/>
    </xf>
    <xf numFmtId="164" fontId="15" fillId="19" borderId="75" xfId="0" applyNumberFormat="1" applyFont="1" applyFill="1" applyBorder="1" applyAlignment="1">
      <alignment horizontal="center" vertical="center"/>
    </xf>
    <xf numFmtId="0" fontId="23" fillId="0" borderId="0" xfId="0" applyFont="1" applyAlignment="1">
      <alignment horizontal="left" vertical="center"/>
    </xf>
    <xf numFmtId="0" fontId="24" fillId="2" borderId="0" xfId="0" applyFont="1" applyFill="1" applyAlignment="1">
      <alignment horizontal="center" vertical="center"/>
    </xf>
    <xf numFmtId="0" fontId="82" fillId="2" borderId="0" xfId="0" applyFont="1" applyFill="1" applyAlignment="1">
      <alignment vertical="center"/>
    </xf>
    <xf numFmtId="0" fontId="24" fillId="2" borderId="0" xfId="0" applyFont="1" applyFill="1" applyAlignment="1">
      <alignment vertical="center"/>
    </xf>
    <xf numFmtId="0" fontId="24" fillId="5" borderId="0" xfId="0" applyFont="1" applyFill="1" applyAlignment="1" applyProtection="1">
      <alignment horizontal="center" vertical="center"/>
      <protection locked="0"/>
    </xf>
    <xf numFmtId="0" fontId="23" fillId="2" borderId="62" xfId="0" applyFont="1" applyFill="1" applyBorder="1" applyAlignment="1">
      <alignment horizontal="left" vertical="center"/>
    </xf>
    <xf numFmtId="0" fontId="24" fillId="5" borderId="63" xfId="0" applyFont="1" applyFill="1" applyBorder="1" applyAlignment="1" applyProtection="1">
      <alignment horizontal="center" vertical="center"/>
      <protection locked="0"/>
    </xf>
    <xf numFmtId="164" fontId="85" fillId="21" borderId="67" xfId="0" applyNumberFormat="1" applyFont="1" applyFill="1" applyBorder="1" applyAlignment="1">
      <alignment horizontal="center" vertical="center"/>
    </xf>
    <xf numFmtId="164" fontId="23" fillId="16" borderId="68" xfId="0" applyNumberFormat="1" applyFont="1" applyFill="1" applyBorder="1" applyAlignment="1" applyProtection="1">
      <alignment horizontal="center" vertical="center"/>
      <protection locked="0"/>
    </xf>
    <xf numFmtId="164" fontId="85" fillId="21" borderId="68" xfId="0" applyNumberFormat="1" applyFont="1" applyFill="1" applyBorder="1" applyAlignment="1">
      <alignment horizontal="center" vertical="center"/>
    </xf>
    <xf numFmtId="0" fontId="24" fillId="2" borderId="62" xfId="0" applyFont="1" applyFill="1" applyBorder="1"/>
    <xf numFmtId="164" fontId="15" fillId="2" borderId="0" xfId="0" applyNumberFormat="1" applyFont="1" applyFill="1" applyAlignment="1">
      <alignment horizontal="center" vertical="center"/>
    </xf>
    <xf numFmtId="164" fontId="86" fillId="2" borderId="0" xfId="0" applyNumberFormat="1" applyFont="1" applyFill="1" applyAlignment="1">
      <alignment horizontal="center" vertical="center"/>
    </xf>
    <xf numFmtId="0" fontId="24" fillId="2" borderId="62" xfId="0" applyFont="1" applyFill="1" applyBorder="1" applyAlignment="1">
      <alignment horizontal="left" vertical="center"/>
    </xf>
    <xf numFmtId="164" fontId="23" fillId="16" borderId="69" xfId="0" applyNumberFormat="1" applyFont="1" applyFill="1" applyBorder="1" applyAlignment="1">
      <alignment horizontal="center" vertical="center"/>
    </xf>
    <xf numFmtId="164" fontId="23" fillId="2" borderId="0" xfId="0" applyNumberFormat="1" applyFont="1" applyFill="1" applyAlignment="1">
      <alignment horizontal="center" vertical="center"/>
    </xf>
    <xf numFmtId="0" fontId="24" fillId="2" borderId="64" xfId="0" applyFont="1" applyFill="1" applyBorder="1"/>
    <xf numFmtId="0" fontId="24" fillId="2" borderId="65" xfId="0" applyFont="1" applyFill="1" applyBorder="1"/>
    <xf numFmtId="0" fontId="24" fillId="22" borderId="65" xfId="0" applyFont="1" applyFill="1" applyBorder="1"/>
    <xf numFmtId="164" fontId="86" fillId="2" borderId="65" xfId="0" applyNumberFormat="1" applyFont="1" applyFill="1" applyBorder="1" applyAlignment="1">
      <alignment horizontal="center" vertical="center"/>
    </xf>
    <xf numFmtId="0" fontId="24" fillId="2" borderId="66" xfId="0" applyFont="1" applyFill="1" applyBorder="1"/>
    <xf numFmtId="0" fontId="82" fillId="2" borderId="0" xfId="0" applyFont="1" applyFill="1"/>
    <xf numFmtId="0" fontId="24" fillId="2" borderId="0" xfId="0" applyFont="1" applyFill="1" applyAlignment="1">
      <alignment horizontal="center"/>
    </xf>
    <xf numFmtId="0" fontId="16" fillId="14" borderId="130" xfId="0" applyFont="1" applyFill="1" applyBorder="1" applyAlignment="1">
      <alignment vertical="center"/>
    </xf>
    <xf numFmtId="0" fontId="16" fillId="14" borderId="0" xfId="0" applyFont="1" applyFill="1" applyAlignment="1">
      <alignment vertical="center"/>
    </xf>
    <xf numFmtId="0" fontId="16" fillId="14" borderId="88" xfId="0" applyFont="1" applyFill="1" applyBorder="1" applyAlignment="1">
      <alignment vertical="center"/>
    </xf>
    <xf numFmtId="0" fontId="16" fillId="14" borderId="86" xfId="0" applyFont="1" applyFill="1" applyBorder="1" applyAlignment="1">
      <alignment vertical="center"/>
    </xf>
    <xf numFmtId="0" fontId="24" fillId="0" borderId="0" xfId="0" applyFont="1" applyAlignment="1" applyProtection="1">
      <alignment horizontal="center" vertical="center" wrapText="1"/>
      <protection locked="0"/>
    </xf>
    <xf numFmtId="0" fontId="2" fillId="0" borderId="0" xfId="0" applyFont="1"/>
    <xf numFmtId="0" fontId="24" fillId="0" borderId="0" xfId="0" applyFont="1" applyAlignment="1" applyProtection="1">
      <alignment vertical="center" wrapText="1"/>
      <protection locked="0"/>
    </xf>
    <xf numFmtId="0" fontId="24" fillId="0" borderId="0" xfId="0" applyFont="1" applyAlignment="1">
      <alignment vertical="center" wrapText="1"/>
    </xf>
    <xf numFmtId="0" fontId="24" fillId="0" borderId="0" xfId="0" applyFont="1" applyAlignment="1">
      <alignment horizontal="center" vertical="center" wrapText="1"/>
    </xf>
    <xf numFmtId="0" fontId="31" fillId="2" borderId="0" xfId="3" applyFont="1" applyFill="1" applyBorder="1" applyAlignment="1">
      <alignment horizontal="center" vertical="center" wrapText="1"/>
    </xf>
    <xf numFmtId="0" fontId="21" fillId="0" borderId="133" xfId="0" applyFont="1" applyBorder="1" applyAlignment="1" applyProtection="1">
      <alignment horizontal="center" vertical="center" wrapText="1"/>
      <protection locked="0"/>
    </xf>
    <xf numFmtId="0" fontId="21" fillId="0" borderId="134" xfId="0" applyFont="1" applyBorder="1" applyAlignment="1" applyProtection="1">
      <alignment horizontal="center" vertical="center" wrapText="1"/>
      <protection locked="0"/>
    </xf>
    <xf numFmtId="0" fontId="21" fillId="0" borderId="134" xfId="0" applyFont="1" applyBorder="1" applyAlignment="1" applyProtection="1">
      <alignment vertical="center" wrapText="1"/>
      <protection locked="0"/>
    </xf>
    <xf numFmtId="0" fontId="21" fillId="0" borderId="135" xfId="0" applyFont="1" applyBorder="1" applyAlignment="1" applyProtection="1">
      <alignment vertical="center" wrapText="1"/>
      <protection locked="0"/>
    </xf>
    <xf numFmtId="0" fontId="21" fillId="0" borderId="135" xfId="0" applyFont="1" applyBorder="1" applyAlignment="1" applyProtection="1">
      <alignment horizontal="center" vertical="center" wrapText="1"/>
      <protection locked="0"/>
    </xf>
    <xf numFmtId="0" fontId="21" fillId="0" borderId="133" xfId="0" applyFont="1" applyBorder="1" applyAlignment="1" applyProtection="1">
      <alignment vertical="center" wrapText="1"/>
      <protection locked="0"/>
    </xf>
    <xf numFmtId="0" fontId="21" fillId="0" borderId="84" xfId="0" applyFont="1" applyBorder="1" applyAlignment="1" applyProtection="1">
      <alignment horizontal="center" vertical="center" wrapText="1"/>
      <protection locked="0"/>
    </xf>
    <xf numFmtId="0" fontId="21" fillId="0" borderId="79" xfId="0" applyFont="1" applyBorder="1" applyAlignment="1" applyProtection="1">
      <alignment horizontal="center" vertical="center" wrapText="1"/>
      <protection locked="0"/>
    </xf>
    <xf numFmtId="0" fontId="23" fillId="15" borderId="85" xfId="0" applyFont="1" applyFill="1" applyBorder="1" applyAlignment="1">
      <alignment horizontal="center" vertical="center" wrapText="1"/>
    </xf>
    <xf numFmtId="0" fontId="21" fillId="0" borderId="160" xfId="0" applyFont="1" applyBorder="1" applyAlignment="1">
      <alignment vertical="top" wrapText="1"/>
    </xf>
    <xf numFmtId="0" fontId="21" fillId="2" borderId="91" xfId="0" applyFont="1" applyFill="1" applyBorder="1" applyAlignment="1">
      <alignment horizontal="left" vertical="top" wrapText="1"/>
    </xf>
    <xf numFmtId="0" fontId="21" fillId="0" borderId="141" xfId="0" applyFont="1" applyBorder="1" applyAlignment="1">
      <alignment vertical="top" wrapText="1"/>
    </xf>
    <xf numFmtId="0" fontId="21" fillId="0" borderId="100" xfId="0" applyFont="1" applyBorder="1" applyAlignment="1">
      <alignment vertical="top" wrapText="1"/>
    </xf>
    <xf numFmtId="0" fontId="21" fillId="0" borderId="147" xfId="0" applyFont="1" applyBorder="1" applyAlignment="1">
      <alignment vertical="top" wrapText="1"/>
    </xf>
    <xf numFmtId="0" fontId="21" fillId="0" borderId="84" xfId="0" applyFont="1" applyBorder="1" applyAlignment="1">
      <alignment horizontal="left" vertical="top" wrapText="1"/>
    </xf>
    <xf numFmtId="164" fontId="21" fillId="0" borderId="79" xfId="0" applyNumberFormat="1" applyFont="1" applyBorder="1" applyAlignment="1">
      <alignment horizontal="left" vertical="top" wrapText="1"/>
    </xf>
    <xf numFmtId="164" fontId="21" fillId="2" borderId="80" xfId="0" applyNumberFormat="1" applyFont="1" applyFill="1" applyBorder="1" applyAlignment="1">
      <alignment horizontal="left" vertical="top" wrapText="1"/>
    </xf>
    <xf numFmtId="164" fontId="21" fillId="0" borderId="81" xfId="0" applyNumberFormat="1" applyFont="1" applyBorder="1" applyAlignment="1">
      <alignment horizontal="left" vertical="top" wrapText="1"/>
    </xf>
    <xf numFmtId="164" fontId="21" fillId="0" borderId="161" xfId="0" applyNumberFormat="1" applyFont="1" applyBorder="1" applyAlignment="1">
      <alignment horizontal="left" vertical="top" wrapText="1"/>
    </xf>
    <xf numFmtId="0" fontId="21" fillId="2" borderId="5" xfId="0" applyFont="1" applyFill="1" applyBorder="1" applyAlignment="1">
      <alignment vertical="top" wrapText="1"/>
    </xf>
    <xf numFmtId="0" fontId="22" fillId="2" borderId="0" xfId="0" applyFont="1" applyFill="1" applyAlignment="1">
      <alignment vertical="top" wrapText="1"/>
    </xf>
    <xf numFmtId="0" fontId="22" fillId="2" borderId="5" xfId="0" applyFont="1" applyFill="1" applyBorder="1" applyAlignment="1">
      <alignment vertical="top" wrapText="1"/>
    </xf>
    <xf numFmtId="0" fontId="28" fillId="0" borderId="137" xfId="0" applyFont="1" applyBorder="1" applyAlignment="1">
      <alignment horizontal="center" vertical="center" wrapText="1"/>
    </xf>
    <xf numFmtId="0" fontId="15" fillId="15" borderId="98" xfId="0" applyFont="1" applyFill="1" applyBorder="1" applyAlignment="1">
      <alignment vertical="center"/>
    </xf>
    <xf numFmtId="0" fontId="21" fillId="0" borderId="137" xfId="0" applyFont="1" applyBorder="1" applyAlignment="1" applyProtection="1">
      <alignment vertical="center" wrapText="1"/>
      <protection locked="0"/>
    </xf>
    <xf numFmtId="0" fontId="21" fillId="0" borderId="141" xfId="0" applyFont="1" applyBorder="1" applyAlignment="1">
      <alignment horizontal="left" vertical="top" wrapText="1"/>
    </xf>
    <xf numFmtId="164" fontId="21" fillId="0" borderId="80" xfId="0" applyNumberFormat="1" applyFont="1" applyBorder="1" applyAlignment="1">
      <alignment horizontal="left" vertical="top" wrapText="1"/>
    </xf>
    <xf numFmtId="0" fontId="0" fillId="0" borderId="144" xfId="0" applyBorder="1"/>
    <xf numFmtId="0" fontId="21" fillId="0" borderId="99" xfId="0" applyFont="1" applyBorder="1" applyAlignment="1">
      <alignment horizontal="left" vertical="top" wrapText="1"/>
    </xf>
    <xf numFmtId="0" fontId="28" fillId="0" borderId="138" xfId="0" applyFont="1" applyBorder="1" applyAlignment="1">
      <alignment horizontal="left" vertical="top" wrapText="1"/>
    </xf>
    <xf numFmtId="0" fontId="14" fillId="0" borderId="102" xfId="0" applyFont="1" applyBorder="1" applyAlignment="1">
      <alignment vertical="center" wrapText="1"/>
    </xf>
    <xf numFmtId="0" fontId="14" fillId="3" borderId="1" xfId="3" applyFont="1" applyAlignment="1">
      <alignment horizontal="center" vertical="center" wrapText="1"/>
    </xf>
    <xf numFmtId="0" fontId="21" fillId="2" borderId="0" xfId="0" applyFont="1" applyFill="1" applyAlignment="1">
      <alignment vertical="center" wrapText="1"/>
    </xf>
    <xf numFmtId="0" fontId="21" fillId="2" borderId="0" xfId="0" applyFont="1" applyFill="1" applyAlignment="1">
      <alignment vertical="center"/>
    </xf>
    <xf numFmtId="0" fontId="21" fillId="2" borderId="0" xfId="0" applyFont="1" applyFill="1" applyAlignment="1">
      <alignment horizontal="left" vertical="center"/>
    </xf>
    <xf numFmtId="0" fontId="28" fillId="2" borderId="8" xfId="0" applyFont="1" applyFill="1" applyBorder="1" applyAlignment="1">
      <alignment vertical="center" wrapText="1"/>
    </xf>
    <xf numFmtId="0" fontId="21" fillId="2" borderId="8" xfId="0" applyFont="1" applyFill="1" applyBorder="1" applyAlignment="1">
      <alignment vertical="center"/>
    </xf>
    <xf numFmtId="0" fontId="28" fillId="2" borderId="0" xfId="0" applyFont="1" applyFill="1" applyAlignment="1">
      <alignment vertical="center" wrapText="1"/>
    </xf>
    <xf numFmtId="0" fontId="32" fillId="2" borderId="0" xfId="0" applyFont="1" applyFill="1" applyAlignment="1">
      <alignment vertical="center" wrapText="1"/>
    </xf>
    <xf numFmtId="0" fontId="28" fillId="2" borderId="175" xfId="0" applyFont="1" applyFill="1" applyBorder="1" applyAlignment="1">
      <alignment vertical="center" wrapText="1"/>
    </xf>
    <xf numFmtId="0" fontId="22" fillId="2" borderId="0" xfId="0" applyFont="1" applyFill="1" applyAlignment="1">
      <alignment horizontal="left" vertical="center" wrapText="1"/>
    </xf>
    <xf numFmtId="0" fontId="21" fillId="2" borderId="0" xfId="0" applyFont="1" applyFill="1" applyAlignment="1">
      <alignment horizontal="left" vertical="center" wrapText="1"/>
    </xf>
    <xf numFmtId="0" fontId="21" fillId="2" borderId="175" xfId="0" applyFont="1" applyFill="1" applyBorder="1" applyAlignment="1">
      <alignment vertical="center"/>
    </xf>
    <xf numFmtId="0" fontId="63" fillId="2" borderId="0" xfId="0" applyFont="1" applyFill="1" applyAlignment="1">
      <alignment horizontal="left" vertical="center" wrapText="1"/>
    </xf>
    <xf numFmtId="0" fontId="71" fillId="2" borderId="0" xfId="0" applyFont="1" applyFill="1" applyAlignment="1">
      <alignment horizontal="left" vertical="center"/>
    </xf>
    <xf numFmtId="164" fontId="15" fillId="18" borderId="73" xfId="0" applyNumberFormat="1" applyFont="1" applyFill="1" applyBorder="1" applyAlignment="1">
      <alignment horizontal="center" vertical="center"/>
    </xf>
    <xf numFmtId="164" fontId="15" fillId="19" borderId="74" xfId="0" applyNumberFormat="1" applyFont="1" applyFill="1" applyBorder="1" applyAlignment="1">
      <alignment horizontal="center" vertical="center"/>
    </xf>
    <xf numFmtId="0" fontId="15" fillId="18" borderId="75" xfId="0" applyFont="1" applyFill="1" applyBorder="1" applyAlignment="1">
      <alignment horizontal="center" vertical="center"/>
    </xf>
    <xf numFmtId="1" fontId="23" fillId="19" borderId="73" xfId="0" applyNumberFormat="1" applyFont="1" applyFill="1" applyBorder="1" applyAlignment="1" applyProtection="1">
      <alignment horizontal="center" vertical="center"/>
      <protection locked="0"/>
    </xf>
    <xf numFmtId="1" fontId="23" fillId="19" borderId="180" xfId="0" applyNumberFormat="1" applyFont="1" applyFill="1" applyBorder="1" applyAlignment="1" applyProtection="1">
      <alignment horizontal="center" vertical="center"/>
      <protection locked="0"/>
    </xf>
    <xf numFmtId="0" fontId="15" fillId="18" borderId="179" xfId="0" applyFont="1" applyFill="1" applyBorder="1" applyAlignment="1">
      <alignment horizontal="center" vertical="center"/>
    </xf>
    <xf numFmtId="0" fontId="21" fillId="2" borderId="0" xfId="0" applyFont="1" applyFill="1" applyAlignment="1" applyProtection="1">
      <alignment horizontal="right"/>
      <protection locked="0"/>
    </xf>
    <xf numFmtId="164" fontId="19" fillId="0" borderId="156" xfId="0" applyNumberFormat="1" applyFont="1" applyFill="1" applyBorder="1" applyAlignment="1">
      <alignment horizontal="center" vertical="center" wrapText="1"/>
    </xf>
    <xf numFmtId="0" fontId="17" fillId="3" borderId="9" xfId="3" applyFont="1" applyBorder="1" applyAlignment="1">
      <alignment horizontal="center" vertical="center" wrapText="1"/>
    </xf>
    <xf numFmtId="0" fontId="17" fillId="3" borderId="11" xfId="3" applyFont="1" applyBorder="1" applyAlignment="1">
      <alignment horizontal="center" vertical="center" wrapText="1"/>
    </xf>
    <xf numFmtId="0" fontId="20" fillId="2" borderId="0" xfId="0" applyFont="1" applyFill="1" applyAlignment="1">
      <alignment horizontal="left" vertical="top" wrapText="1"/>
    </xf>
    <xf numFmtId="0" fontId="20" fillId="2" borderId="35" xfId="0" applyFont="1" applyFill="1" applyBorder="1" applyAlignment="1">
      <alignment horizontal="center" vertical="center" wrapText="1"/>
    </xf>
    <xf numFmtId="0" fontId="14" fillId="2" borderId="20" xfId="0" applyFont="1" applyFill="1" applyBorder="1" applyAlignment="1">
      <alignment horizontal="center" vertical="center" wrapText="1"/>
    </xf>
    <xf numFmtId="0" fontId="31" fillId="23" borderId="97" xfId="0" applyFont="1" applyFill="1" applyBorder="1" applyAlignment="1">
      <alignment horizontal="left" vertical="top" wrapText="1"/>
    </xf>
    <xf numFmtId="0" fontId="15" fillId="11" borderId="97" xfId="0" applyFont="1" applyFill="1" applyBorder="1" applyAlignment="1">
      <alignment horizontal="center" vertical="center"/>
    </xf>
    <xf numFmtId="0" fontId="24" fillId="2" borderId="62" xfId="0" applyFont="1" applyFill="1" applyBorder="1" applyAlignment="1">
      <alignment horizontal="center" vertical="center"/>
    </xf>
    <xf numFmtId="0" fontId="24" fillId="2" borderId="0" xfId="0" applyFont="1" applyFill="1" applyAlignment="1">
      <alignment horizontal="center" vertical="center"/>
    </xf>
    <xf numFmtId="0" fontId="15" fillId="18" borderId="72" xfId="0" applyFont="1" applyFill="1" applyBorder="1" applyAlignment="1">
      <alignment horizontal="center" vertical="center"/>
    </xf>
    <xf numFmtId="0" fontId="24" fillId="2" borderId="72" xfId="0" applyFont="1" applyFill="1" applyBorder="1" applyAlignment="1">
      <alignment vertical="center"/>
    </xf>
    <xf numFmtId="0" fontId="24" fillId="2" borderId="72" xfId="0" applyFont="1" applyFill="1" applyBorder="1" applyAlignment="1">
      <alignment horizontal="left" vertical="center"/>
    </xf>
    <xf numFmtId="0" fontId="23" fillId="0" borderId="72" xfId="0" applyFont="1" applyBorder="1" applyAlignment="1">
      <alignment horizontal="center" vertical="center" wrapText="1"/>
    </xf>
    <xf numFmtId="0" fontId="23" fillId="0" borderId="72" xfId="0" applyFont="1" applyBorder="1" applyAlignment="1">
      <alignment horizontal="center" vertical="center"/>
    </xf>
    <xf numFmtId="0" fontId="15" fillId="0" borderId="72" xfId="0" applyFont="1" applyBorder="1" applyAlignment="1">
      <alignment horizontal="center" vertical="center"/>
    </xf>
    <xf numFmtId="0" fontId="85" fillId="21" borderId="59" xfId="0" applyFont="1" applyFill="1" applyBorder="1" applyAlignment="1">
      <alignment horizontal="center" vertical="center"/>
    </xf>
    <xf numFmtId="0" fontId="85" fillId="21" borderId="60" xfId="0" applyFont="1" applyFill="1" applyBorder="1" applyAlignment="1">
      <alignment horizontal="center" vertical="center"/>
    </xf>
    <xf numFmtId="0" fontId="85" fillId="21" borderId="61" xfId="0" applyFont="1" applyFill="1" applyBorder="1" applyAlignment="1">
      <alignment horizontal="center" vertical="center"/>
    </xf>
    <xf numFmtId="0" fontId="85" fillId="21" borderId="62" xfId="0" applyFont="1" applyFill="1" applyBorder="1" applyAlignment="1">
      <alignment horizontal="center" vertical="center"/>
    </xf>
    <xf numFmtId="0" fontId="85" fillId="21" borderId="0" xfId="0" applyFont="1" applyFill="1" applyAlignment="1">
      <alignment horizontal="center" vertical="center"/>
    </xf>
    <xf numFmtId="0" fontId="85" fillId="21" borderId="63" xfId="0" applyFont="1" applyFill="1" applyBorder="1" applyAlignment="1">
      <alignment horizontal="center" vertical="center"/>
    </xf>
    <xf numFmtId="0" fontId="22" fillId="2" borderId="0" xfId="0" applyFont="1" applyFill="1" applyAlignment="1">
      <alignment horizontal="center" vertical="center"/>
    </xf>
    <xf numFmtId="0" fontId="24" fillId="2" borderId="72" xfId="0" applyFont="1" applyFill="1" applyBorder="1" applyAlignment="1">
      <alignment horizontal="left" vertical="center" wrapText="1"/>
    </xf>
    <xf numFmtId="0" fontId="79" fillId="17" borderId="93" xfId="0" applyFont="1" applyFill="1" applyBorder="1" applyAlignment="1">
      <alignment horizontal="center" vertical="center" wrapText="1"/>
    </xf>
    <xf numFmtId="0" fontId="79" fillId="17" borderId="94" xfId="0" applyFont="1" applyFill="1" applyBorder="1" applyAlignment="1">
      <alignment horizontal="center" vertical="center" wrapText="1"/>
    </xf>
    <xf numFmtId="0" fontId="31" fillId="8" borderId="89" xfId="3" applyFont="1" applyFill="1" applyBorder="1" applyAlignment="1">
      <alignment horizontal="center" vertical="center" wrapText="1"/>
    </xf>
    <xf numFmtId="0" fontId="31" fillId="8" borderId="90" xfId="3" applyFont="1" applyFill="1" applyBorder="1" applyAlignment="1">
      <alignment horizontal="center" vertical="center" wrapText="1"/>
    </xf>
    <xf numFmtId="0" fontId="29" fillId="14" borderId="89" xfId="0" applyFont="1" applyFill="1" applyBorder="1" applyAlignment="1">
      <alignment horizontal="center" vertical="center" wrapText="1"/>
    </xf>
    <xf numFmtId="0" fontId="29" fillId="14" borderId="90" xfId="0" applyFont="1" applyFill="1" applyBorder="1" applyAlignment="1">
      <alignment horizontal="center" vertical="center" wrapText="1"/>
    </xf>
    <xf numFmtId="0" fontId="14" fillId="8" borderId="89" xfId="3" applyFont="1" applyFill="1" applyBorder="1" applyAlignment="1">
      <alignment horizontal="center" vertical="center" wrapText="1"/>
    </xf>
    <xf numFmtId="0" fontId="14" fillId="8" borderId="90" xfId="3" applyFont="1" applyFill="1" applyBorder="1" applyAlignment="1">
      <alignment horizontal="center" vertical="center" wrapText="1"/>
    </xf>
    <xf numFmtId="0" fontId="23" fillId="2" borderId="108" xfId="0" applyFont="1" applyFill="1" applyBorder="1" applyAlignment="1">
      <alignment horizontal="center" vertical="top" wrapText="1"/>
    </xf>
    <xf numFmtId="0" fontId="23" fillId="2" borderId="107" xfId="0" applyFont="1" applyFill="1" applyBorder="1" applyAlignment="1">
      <alignment horizontal="center" vertical="top" wrapText="1"/>
    </xf>
    <xf numFmtId="0" fontId="23" fillId="2" borderId="85" xfId="0" applyFont="1" applyFill="1" applyBorder="1" applyAlignment="1">
      <alignment horizontal="center" vertical="top" wrapText="1"/>
    </xf>
    <xf numFmtId="0" fontId="24" fillId="23" borderId="172" xfId="0" applyFont="1" applyFill="1" applyBorder="1" applyAlignment="1">
      <alignment horizontal="left" vertical="top" wrapText="1"/>
    </xf>
    <xf numFmtId="0" fontId="24" fillId="23" borderId="173" xfId="0" applyFont="1" applyFill="1" applyBorder="1" applyAlignment="1">
      <alignment horizontal="left" vertical="top" wrapText="1"/>
    </xf>
    <xf numFmtId="0" fontId="24" fillId="23" borderId="174" xfId="0" applyFont="1" applyFill="1" applyBorder="1" applyAlignment="1">
      <alignment horizontal="left" vertical="top" wrapText="1"/>
    </xf>
    <xf numFmtId="0" fontId="23" fillId="2" borderId="139" xfId="0" applyFont="1" applyFill="1" applyBorder="1" applyAlignment="1">
      <alignment horizontal="center" vertical="top" wrapText="1"/>
    </xf>
    <xf numFmtId="0" fontId="23" fillId="2" borderId="132" xfId="0" applyFont="1" applyFill="1" applyBorder="1" applyAlignment="1">
      <alignment horizontal="center" vertical="top" wrapText="1"/>
    </xf>
    <xf numFmtId="0" fontId="23" fillId="2" borderId="87" xfId="0" applyFont="1" applyFill="1" applyBorder="1" applyAlignment="1">
      <alignment horizontal="center" vertical="top" wrapText="1"/>
    </xf>
    <xf numFmtId="0" fontId="23" fillId="2" borderId="177" xfId="0" applyFont="1" applyFill="1" applyBorder="1" applyAlignment="1">
      <alignment horizontal="center" vertical="top" wrapText="1"/>
    </xf>
    <xf numFmtId="0" fontId="23" fillId="2" borderId="176" xfId="0" applyFont="1" applyFill="1" applyBorder="1" applyAlignment="1">
      <alignment horizontal="center" vertical="top" wrapText="1"/>
    </xf>
    <xf numFmtId="0" fontId="23" fillId="2" borderId="178" xfId="0" applyFont="1" applyFill="1" applyBorder="1" applyAlignment="1">
      <alignment horizontal="center" vertical="top" wrapText="1"/>
    </xf>
    <xf numFmtId="0" fontId="31" fillId="0" borderId="123" xfId="0" applyFont="1" applyBorder="1" applyAlignment="1">
      <alignment horizontal="left" vertical="center"/>
    </xf>
    <xf numFmtId="0" fontId="31" fillId="0" borderId="121" xfId="0" applyFont="1" applyBorder="1" applyAlignment="1">
      <alignment horizontal="left" vertical="center"/>
    </xf>
    <xf numFmtId="0" fontId="31" fillId="0" borderId="112" xfId="0" applyFont="1" applyBorder="1" applyAlignment="1">
      <alignment horizontal="left" vertical="center"/>
    </xf>
    <xf numFmtId="0" fontId="31" fillId="0" borderId="119" xfId="0" applyFont="1" applyBorder="1" applyAlignment="1">
      <alignment horizontal="left" vertical="center"/>
    </xf>
    <xf numFmtId="0" fontId="31" fillId="0" borderId="100" xfId="0" applyFont="1" applyBorder="1" applyAlignment="1">
      <alignment horizontal="left" vertical="center"/>
    </xf>
    <xf numFmtId="0" fontId="31" fillId="0" borderId="104" xfId="0" applyFont="1" applyBorder="1" applyAlignment="1">
      <alignment horizontal="left" vertical="center"/>
    </xf>
    <xf numFmtId="0" fontId="24" fillId="0" borderId="91" xfId="0" applyFont="1" applyBorder="1" applyAlignment="1">
      <alignment horizontal="left" vertical="center"/>
    </xf>
    <xf numFmtId="0" fontId="24" fillId="0" borderId="92" xfId="0" applyFont="1" applyBorder="1" applyAlignment="1">
      <alignment horizontal="left" vertical="center"/>
    </xf>
    <xf numFmtId="0" fontId="24" fillId="0" borderId="102" xfId="0" applyFont="1" applyBorder="1" applyAlignment="1">
      <alignment horizontal="left" vertical="center"/>
    </xf>
    <xf numFmtId="0" fontId="31" fillId="0" borderId="102" xfId="0" applyFont="1" applyBorder="1" applyAlignment="1">
      <alignment horizontal="left" vertical="center"/>
    </xf>
    <xf numFmtId="0" fontId="31" fillId="0" borderId="99" xfId="0" applyFont="1" applyBorder="1" applyAlignment="1">
      <alignment horizontal="left" vertical="center" wrapText="1"/>
    </xf>
    <xf numFmtId="0" fontId="31" fillId="0" borderId="100" xfId="0" applyFont="1" applyBorder="1" applyAlignment="1">
      <alignment horizontal="left" vertical="center" wrapText="1"/>
    </xf>
    <xf numFmtId="0" fontId="24" fillId="0" borderId="109" xfId="0" applyFont="1" applyBorder="1" applyAlignment="1">
      <alignment horizontal="left" vertical="center"/>
    </xf>
    <xf numFmtId="0" fontId="88" fillId="8" borderId="108" xfId="1" applyFont="1" applyFill="1" applyBorder="1" applyAlignment="1" applyProtection="1">
      <alignment horizontal="center" vertical="center" wrapText="1"/>
    </xf>
    <xf numFmtId="0" fontId="88" fillId="8" borderId="98" xfId="1" applyFont="1" applyFill="1" applyBorder="1" applyAlignment="1" applyProtection="1">
      <alignment horizontal="center" vertical="center" wrapText="1"/>
    </xf>
    <xf numFmtId="0" fontId="88" fillId="8" borderId="107" xfId="1" applyFont="1" applyFill="1" applyBorder="1" applyAlignment="1" applyProtection="1">
      <alignment horizontal="center" vertical="center" wrapText="1"/>
    </xf>
    <xf numFmtId="0" fontId="41" fillId="24" borderId="89" xfId="0" applyFont="1" applyFill="1" applyBorder="1" applyAlignment="1">
      <alignment horizontal="center" vertical="center"/>
    </xf>
    <xf numFmtId="0" fontId="41" fillId="24" borderId="86" xfId="0" applyFont="1" applyFill="1" applyBorder="1" applyAlignment="1">
      <alignment horizontal="center" vertical="center"/>
    </xf>
    <xf numFmtId="0" fontId="41" fillId="24" borderId="130" xfId="0" applyFont="1" applyFill="1" applyBorder="1" applyAlignment="1">
      <alignment horizontal="center" vertical="center"/>
    </xf>
    <xf numFmtId="0" fontId="41" fillId="24" borderId="132" xfId="0" applyFont="1" applyFill="1" applyBorder="1" applyAlignment="1">
      <alignment horizontal="center" vertical="center"/>
    </xf>
    <xf numFmtId="0" fontId="21" fillId="0" borderId="102" xfId="0" applyFont="1" applyBorder="1" applyAlignment="1">
      <alignment horizontal="left" vertical="center" wrapText="1"/>
    </xf>
    <xf numFmtId="0" fontId="21" fillId="0" borderId="138" xfId="0" applyFont="1" applyBorder="1" applyAlignment="1">
      <alignment horizontal="left" vertical="center" wrapText="1"/>
    </xf>
    <xf numFmtId="0" fontId="14" fillId="0" borderId="109" xfId="0" applyFont="1" applyBorder="1" applyAlignment="1">
      <alignment horizontal="left" vertical="center" wrapText="1"/>
    </xf>
    <xf numFmtId="0" fontId="14" fillId="0" borderId="92" xfId="0" applyFont="1" applyBorder="1" applyAlignment="1">
      <alignment horizontal="left" vertical="center" wrapText="1"/>
    </xf>
    <xf numFmtId="0" fontId="15" fillId="15" borderId="108" xfId="0" applyFont="1" applyFill="1" applyBorder="1" applyAlignment="1">
      <alignment horizontal="center" vertical="top" wrapText="1"/>
    </xf>
    <xf numFmtId="0" fontId="15" fillId="15" borderId="98" xfId="0" applyFont="1" applyFill="1" applyBorder="1" applyAlignment="1">
      <alignment horizontal="center" vertical="top" wrapText="1"/>
    </xf>
    <xf numFmtId="0" fontId="21" fillId="0" borderId="131" xfId="0" applyFont="1" applyBorder="1" applyAlignment="1">
      <alignment horizontal="left" vertical="center" wrapText="1"/>
    </xf>
    <xf numFmtId="0" fontId="21" fillId="0" borderId="88" xfId="0" applyFont="1" applyBorder="1" applyAlignment="1">
      <alignment horizontal="left" vertical="center" wrapText="1"/>
    </xf>
    <xf numFmtId="0" fontId="23" fillId="8" borderId="79" xfId="0" applyFont="1" applyFill="1" applyBorder="1" applyAlignment="1">
      <alignment horizontal="center" vertical="center" wrapText="1"/>
    </xf>
    <xf numFmtId="0" fontId="28" fillId="8" borderId="134" xfId="0" applyFont="1" applyFill="1" applyBorder="1" applyAlignment="1">
      <alignment horizontal="center" vertical="center" wrapText="1"/>
    </xf>
    <xf numFmtId="0" fontId="15" fillId="15" borderId="98" xfId="0" applyFont="1" applyFill="1" applyBorder="1" applyAlignment="1">
      <alignment horizontal="center" vertical="center"/>
    </xf>
    <xf numFmtId="0" fontId="24" fillId="0" borderId="79" xfId="0" applyFont="1" applyBorder="1" applyAlignment="1">
      <alignment horizontal="center" vertical="center" wrapText="1"/>
    </xf>
    <xf numFmtId="0" fontId="15" fillId="15" borderId="107" xfId="0" applyFont="1" applyFill="1" applyBorder="1" applyAlignment="1">
      <alignment horizontal="center" vertical="center"/>
    </xf>
    <xf numFmtId="0" fontId="21" fillId="0" borderId="110" xfId="0" applyFont="1" applyBorder="1" applyAlignment="1" applyProtection="1">
      <alignment horizontal="left" vertical="center" wrapText="1"/>
      <protection locked="0"/>
    </xf>
    <xf numFmtId="0" fontId="21" fillId="0" borderId="106" xfId="0" applyFont="1" applyBorder="1" applyAlignment="1" applyProtection="1">
      <alignment horizontal="left" vertical="center" wrapText="1"/>
      <protection locked="0"/>
    </xf>
    <xf numFmtId="0" fontId="21" fillId="0" borderId="112" xfId="0" applyFont="1" applyBorder="1" applyAlignment="1" applyProtection="1">
      <alignment horizontal="left" vertical="center" wrapText="1"/>
      <protection locked="0"/>
    </xf>
    <xf numFmtId="0" fontId="21" fillId="0" borderId="102" xfId="0" applyFont="1" applyBorder="1" applyAlignment="1" applyProtection="1">
      <alignment horizontal="left" vertical="center" wrapText="1"/>
      <protection locked="0"/>
    </xf>
    <xf numFmtId="0" fontId="14" fillId="0" borderId="138" xfId="0" applyFont="1" applyBorder="1" applyAlignment="1">
      <alignment horizontal="left" vertical="center" wrapText="1"/>
    </xf>
    <xf numFmtId="0" fontId="14" fillId="0" borderId="102" xfId="0" applyFont="1" applyBorder="1" applyAlignment="1">
      <alignment horizontal="left" vertical="center" wrapText="1"/>
    </xf>
    <xf numFmtId="0" fontId="14" fillId="0" borderId="114" xfId="0" applyFont="1" applyBorder="1" applyAlignment="1" applyProtection="1">
      <alignment horizontal="left" vertical="center" wrapText="1"/>
      <protection locked="0"/>
    </xf>
    <xf numFmtId="0" fontId="14" fillId="0" borderId="131" xfId="0" applyFont="1" applyBorder="1" applyAlignment="1" applyProtection="1">
      <alignment horizontal="left" vertical="center" wrapText="1"/>
      <protection locked="0"/>
    </xf>
    <xf numFmtId="0" fontId="21" fillId="0" borderId="134" xfId="0" applyFont="1" applyBorder="1" applyAlignment="1" applyProtection="1">
      <alignment horizontal="center" vertical="center" wrapText="1"/>
      <protection locked="0"/>
    </xf>
    <xf numFmtId="0" fontId="28" fillId="2" borderId="0" xfId="0" applyFont="1" applyFill="1" applyAlignment="1">
      <alignment horizontal="center" vertical="center" wrapText="1"/>
    </xf>
    <xf numFmtId="0" fontId="21" fillId="0" borderId="114" xfId="0" applyFont="1" applyBorder="1" applyAlignment="1" applyProtection="1">
      <alignment horizontal="left" vertical="center" wrapText="1"/>
      <protection locked="0"/>
    </xf>
    <xf numFmtId="0" fontId="21" fillId="0" borderId="131" xfId="0" applyFont="1" applyBorder="1" applyAlignment="1" applyProtection="1">
      <alignment horizontal="left" vertical="center" wrapText="1"/>
      <protection locked="0"/>
    </xf>
    <xf numFmtId="0" fontId="14" fillId="0" borderId="102" xfId="0" applyFont="1" applyBorder="1" applyAlignment="1" applyProtection="1">
      <alignment horizontal="left" vertical="center" wrapText="1"/>
      <protection locked="0"/>
    </xf>
    <xf numFmtId="0" fontId="14" fillId="0" borderId="92" xfId="0" applyFont="1" applyBorder="1" applyAlignment="1" applyProtection="1">
      <alignment horizontal="left" vertical="center" wrapText="1"/>
      <protection locked="0"/>
    </xf>
    <xf numFmtId="0" fontId="28" fillId="2" borderId="109" xfId="0" applyFont="1" applyFill="1" applyBorder="1" applyAlignment="1">
      <alignment horizontal="left"/>
    </xf>
    <xf numFmtId="0" fontId="29" fillId="2" borderId="0" xfId="0" applyFont="1" applyFill="1" applyAlignment="1">
      <alignment horizontal="center" vertical="center"/>
    </xf>
    <xf numFmtId="0" fontId="27" fillId="24" borderId="140" xfId="0" applyFont="1" applyFill="1" applyBorder="1" applyAlignment="1">
      <alignment horizontal="center" vertical="center" wrapText="1"/>
    </xf>
    <xf numFmtId="0" fontId="27" fillId="24" borderId="141" xfId="0" applyFont="1" applyFill="1" applyBorder="1" applyAlignment="1">
      <alignment horizontal="center" vertical="center" wrapText="1"/>
    </xf>
    <xf numFmtId="0" fontId="27" fillId="24" borderId="142" xfId="0" applyFont="1" applyFill="1" applyBorder="1" applyAlignment="1">
      <alignment horizontal="center" vertical="center" wrapText="1"/>
    </xf>
    <xf numFmtId="0" fontId="27" fillId="24" borderId="143" xfId="0" applyFont="1" applyFill="1" applyBorder="1" applyAlignment="1">
      <alignment horizontal="center" vertical="center" wrapText="1"/>
    </xf>
    <xf numFmtId="0" fontId="16" fillId="14" borderId="80" xfId="0" applyFont="1" applyFill="1" applyBorder="1" applyAlignment="1">
      <alignment horizontal="center" vertical="center" wrapText="1"/>
    </xf>
    <xf numFmtId="0" fontId="16" fillId="14" borderId="84" xfId="0" applyFont="1" applyFill="1" applyBorder="1" applyAlignment="1">
      <alignment horizontal="center" vertical="center" wrapText="1"/>
    </xf>
    <xf numFmtId="0" fontId="19" fillId="17" borderId="95" xfId="0" applyFont="1" applyFill="1" applyBorder="1" applyAlignment="1">
      <alignment horizontal="center" vertical="center" wrapText="1"/>
    </xf>
    <xf numFmtId="0" fontId="19" fillId="17" borderId="94" xfId="0" applyFont="1" applyFill="1" applyBorder="1" applyAlignment="1">
      <alignment horizontal="center" vertical="center" wrapText="1"/>
    </xf>
    <xf numFmtId="0" fontId="20" fillId="23" borderId="148" xfId="0" applyFont="1" applyFill="1" applyBorder="1" applyAlignment="1">
      <alignment horizontal="left" vertical="center" wrapText="1"/>
    </xf>
    <xf numFmtId="0" fontId="20" fillId="23" borderId="149" xfId="0" applyFont="1" applyFill="1" applyBorder="1" applyAlignment="1">
      <alignment horizontal="left" vertical="center" wrapText="1"/>
    </xf>
    <xf numFmtId="0" fontId="20" fillId="23" borderId="150" xfId="0" applyFont="1" applyFill="1" applyBorder="1" applyAlignment="1">
      <alignment horizontal="left" vertical="center" wrapText="1"/>
    </xf>
    <xf numFmtId="0" fontId="20" fillId="23" borderId="151" xfId="0" applyFont="1" applyFill="1" applyBorder="1" applyAlignment="1">
      <alignment horizontal="left" vertical="center" wrapText="1"/>
    </xf>
    <xf numFmtId="0" fontId="20" fillId="23" borderId="0" xfId="0" applyFont="1" applyFill="1" applyAlignment="1">
      <alignment horizontal="left" vertical="center" wrapText="1"/>
    </xf>
    <xf numFmtId="0" fontId="20" fillId="23" borderId="152" xfId="0" applyFont="1" applyFill="1" applyBorder="1" applyAlignment="1">
      <alignment horizontal="left" vertical="center" wrapText="1"/>
    </xf>
    <xf numFmtId="0" fontId="20" fillId="23" borderId="153" xfId="0" applyFont="1" applyFill="1" applyBorder="1" applyAlignment="1">
      <alignment horizontal="left" vertical="center" wrapText="1"/>
    </xf>
    <xf numFmtId="0" fontId="20" fillId="23" borderId="154" xfId="0" applyFont="1" applyFill="1" applyBorder="1" applyAlignment="1">
      <alignment horizontal="left" vertical="center" wrapText="1"/>
    </xf>
    <xf numFmtId="0" fontId="20" fillId="23" borderId="155" xfId="0" applyFont="1" applyFill="1" applyBorder="1" applyAlignment="1">
      <alignment horizontal="left" vertical="center" wrapText="1"/>
    </xf>
    <xf numFmtId="0" fontId="14" fillId="3" borderId="18" xfId="3" applyFont="1" applyBorder="1" applyAlignment="1">
      <alignment horizontal="center" vertical="center" wrapText="1"/>
    </xf>
    <xf numFmtId="0" fontId="14" fillId="3" borderId="19" xfId="3" applyFont="1" applyBorder="1" applyAlignment="1">
      <alignment horizontal="center" vertical="center" wrapText="1"/>
    </xf>
    <xf numFmtId="0" fontId="73" fillId="2" borderId="0" xfId="0" applyFont="1" applyFill="1" applyAlignment="1">
      <alignment horizontal="left" wrapText="1"/>
    </xf>
    <xf numFmtId="0" fontId="16" fillId="14" borderId="80" xfId="0" applyFont="1" applyFill="1" applyBorder="1" applyAlignment="1">
      <alignment horizontal="left" vertical="center" wrapText="1"/>
    </xf>
    <xf numFmtId="0" fontId="16" fillId="14" borderId="84" xfId="0" applyFont="1" applyFill="1" applyBorder="1" applyAlignment="1">
      <alignment horizontal="left" vertical="center" wrapText="1"/>
    </xf>
    <xf numFmtId="0" fontId="16" fillId="2" borderId="0" xfId="0" applyFont="1" applyFill="1" applyAlignment="1">
      <alignment horizontal="left" vertical="top"/>
    </xf>
    <xf numFmtId="0" fontId="14" fillId="2" borderId="0" xfId="0" applyFont="1" applyFill="1" applyAlignment="1">
      <alignment horizontal="left" vertical="top"/>
    </xf>
    <xf numFmtId="2" fontId="27" fillId="24" borderId="141" xfId="0" applyNumberFormat="1" applyFont="1" applyFill="1" applyBorder="1" applyAlignment="1">
      <alignment horizontal="center" vertical="center"/>
    </xf>
    <xf numFmtId="2" fontId="27" fillId="24" borderId="143" xfId="0" applyNumberFormat="1" applyFont="1" applyFill="1" applyBorder="1" applyAlignment="1">
      <alignment horizontal="center" vertical="center"/>
    </xf>
    <xf numFmtId="0" fontId="15" fillId="15" borderId="144" xfId="0" applyFont="1" applyFill="1" applyBorder="1" applyAlignment="1">
      <alignment horizontal="center" vertical="center" wrapText="1"/>
    </xf>
    <xf numFmtId="0" fontId="15" fillId="15" borderId="146" xfId="0" applyFont="1" applyFill="1" applyBorder="1" applyAlignment="1">
      <alignment horizontal="center" vertical="center" wrapText="1"/>
    </xf>
    <xf numFmtId="164" fontId="15" fillId="15" borderId="145" xfId="0" applyNumberFormat="1" applyFont="1" applyFill="1" applyBorder="1" applyAlignment="1">
      <alignment horizontal="center" vertical="center" wrapText="1"/>
    </xf>
    <xf numFmtId="164" fontId="15" fillId="15" borderId="147" xfId="0" applyNumberFormat="1" applyFont="1" applyFill="1" applyBorder="1" applyAlignment="1">
      <alignment horizontal="center" vertical="center" wrapText="1"/>
    </xf>
    <xf numFmtId="0" fontId="24" fillId="10" borderId="144" xfId="0" applyFont="1" applyFill="1" applyBorder="1" applyAlignment="1">
      <alignment horizontal="center" vertical="center" wrapText="1"/>
    </xf>
    <xf numFmtId="0" fontId="24" fillId="10" borderId="145" xfId="0" applyFont="1" applyFill="1" applyBorder="1" applyAlignment="1">
      <alignment horizontal="center" vertical="center" wrapText="1"/>
    </xf>
    <xf numFmtId="0" fontId="24" fillId="10" borderId="146" xfId="0" applyFont="1" applyFill="1" applyBorder="1" applyAlignment="1">
      <alignment horizontal="center" vertical="center" wrapText="1"/>
    </xf>
    <xf numFmtId="0" fontId="24" fillId="10" borderId="147" xfId="0" applyFont="1" applyFill="1" applyBorder="1" applyAlignment="1">
      <alignment horizontal="center" vertical="center" wrapText="1"/>
    </xf>
    <xf numFmtId="0" fontId="20" fillId="14" borderId="140" xfId="0" applyFont="1" applyFill="1" applyBorder="1" applyAlignment="1" applyProtection="1">
      <alignment horizontal="center" vertical="top" wrapText="1"/>
      <protection locked="0"/>
    </xf>
    <xf numFmtId="0" fontId="20" fillId="14" borderId="109" xfId="0" applyFont="1" applyFill="1" applyBorder="1" applyAlignment="1" applyProtection="1">
      <alignment horizontal="center" vertical="top" wrapText="1"/>
      <protection locked="0"/>
    </xf>
    <xf numFmtId="0" fontId="20" fillId="14" borderId="141" xfId="0" applyFont="1" applyFill="1" applyBorder="1" applyAlignment="1" applyProtection="1">
      <alignment horizontal="center" vertical="top" wrapText="1"/>
      <protection locked="0"/>
    </xf>
    <xf numFmtId="0" fontId="20" fillId="14" borderId="146" xfId="0" applyFont="1" applyFill="1" applyBorder="1" applyAlignment="1" applyProtection="1">
      <alignment horizontal="center" vertical="top" wrapText="1"/>
      <protection locked="0"/>
    </xf>
    <xf numFmtId="0" fontId="20" fillId="14" borderId="138" xfId="0" applyFont="1" applyFill="1" applyBorder="1" applyAlignment="1" applyProtection="1">
      <alignment horizontal="center" vertical="top" wrapText="1"/>
      <protection locked="0"/>
    </xf>
    <xf numFmtId="0" fontId="20" fillId="14" borderId="147" xfId="0" applyFont="1" applyFill="1" applyBorder="1" applyAlignment="1" applyProtection="1">
      <alignment horizontal="center" vertical="top" wrapText="1"/>
      <protection locked="0"/>
    </xf>
    <xf numFmtId="0" fontId="29" fillId="14" borderId="91" xfId="0" applyFont="1" applyFill="1" applyBorder="1" applyAlignment="1">
      <alignment horizontal="center" vertical="center" wrapText="1"/>
    </xf>
    <xf numFmtId="0" fontId="29" fillId="14" borderId="162" xfId="0" applyFont="1" applyFill="1" applyBorder="1" applyAlignment="1">
      <alignment horizontal="center" vertical="center" wrapText="1"/>
    </xf>
    <xf numFmtId="0" fontId="29" fillId="14" borderId="163" xfId="0" applyFont="1" applyFill="1" applyBorder="1" applyAlignment="1">
      <alignment horizontal="center" vertical="center" wrapText="1"/>
    </xf>
    <xf numFmtId="0" fontId="36" fillId="14" borderId="30" xfId="0" applyFont="1" applyFill="1" applyBorder="1" applyAlignment="1">
      <alignment horizontal="center" vertical="center" wrapText="1"/>
    </xf>
    <xf numFmtId="0" fontId="36" fillId="14" borderId="22" xfId="0" applyFont="1" applyFill="1" applyBorder="1" applyAlignment="1">
      <alignment horizontal="center" vertical="center" wrapText="1"/>
    </xf>
    <xf numFmtId="0" fontId="36" fillId="14" borderId="37" xfId="0" applyFont="1" applyFill="1" applyBorder="1" applyAlignment="1">
      <alignment horizontal="center" vertical="center" wrapText="1"/>
    </xf>
    <xf numFmtId="0" fontId="22" fillId="8" borderId="9" xfId="0" applyFont="1" applyFill="1" applyBorder="1" applyAlignment="1">
      <alignment horizontal="center" vertical="center" wrapText="1"/>
    </xf>
    <xf numFmtId="0" fontId="22" fillId="8" borderId="10" xfId="0" applyFont="1" applyFill="1" applyBorder="1" applyAlignment="1">
      <alignment horizontal="center" vertical="center" wrapText="1"/>
    </xf>
    <xf numFmtId="0" fontId="22" fillId="8" borderId="11" xfId="0" applyFont="1" applyFill="1" applyBorder="1" applyAlignment="1">
      <alignment horizontal="center" vertical="center" wrapText="1"/>
    </xf>
    <xf numFmtId="0" fontId="22" fillId="8" borderId="15" xfId="0" applyFont="1" applyFill="1" applyBorder="1" applyAlignment="1">
      <alignment horizontal="center" vertical="center" wrapText="1"/>
    </xf>
    <xf numFmtId="0" fontId="22" fillId="8" borderId="16" xfId="0" applyFont="1" applyFill="1" applyBorder="1" applyAlignment="1">
      <alignment horizontal="center" vertical="center" wrapText="1"/>
    </xf>
    <xf numFmtId="0" fontId="22" fillId="8" borderId="17" xfId="0" applyFont="1" applyFill="1" applyBorder="1" applyAlignment="1">
      <alignment horizontal="center" vertical="center" wrapText="1"/>
    </xf>
    <xf numFmtId="0" fontId="28" fillId="0" borderId="0" xfId="0" applyFont="1" applyAlignment="1">
      <alignment horizontal="left" vertical="center" wrapText="1"/>
    </xf>
    <xf numFmtId="0" fontId="15" fillId="9" borderId="89" xfId="0" applyFont="1" applyFill="1" applyBorder="1" applyAlignment="1">
      <alignment horizontal="center" vertical="center"/>
    </xf>
    <xf numFmtId="0" fontId="15" fillId="9" borderId="130" xfId="0" applyFont="1" applyFill="1" applyBorder="1" applyAlignment="1">
      <alignment horizontal="center" vertical="center"/>
    </xf>
    <xf numFmtId="0" fontId="15" fillId="9" borderId="90" xfId="0" applyFont="1" applyFill="1" applyBorder="1" applyAlignment="1">
      <alignment horizontal="center" vertical="center"/>
    </xf>
    <xf numFmtId="0" fontId="15" fillId="9" borderId="87" xfId="0" applyFont="1" applyFill="1" applyBorder="1" applyAlignment="1">
      <alignment horizontal="center" vertical="center"/>
    </xf>
    <xf numFmtId="0" fontId="23" fillId="15" borderId="108" xfId="0" applyFont="1" applyFill="1" applyBorder="1" applyAlignment="1">
      <alignment horizontal="center" vertical="center" wrapText="1"/>
    </xf>
    <xf numFmtId="0" fontId="23" fillId="15" borderId="98" xfId="0" applyFont="1" applyFill="1" applyBorder="1" applyAlignment="1">
      <alignment horizontal="center" vertical="center" wrapText="1"/>
    </xf>
    <xf numFmtId="0" fontId="23" fillId="15" borderId="107" xfId="0" applyFont="1" applyFill="1" applyBorder="1" applyAlignment="1">
      <alignment horizontal="center" vertical="center" wrapText="1"/>
    </xf>
    <xf numFmtId="0" fontId="21" fillId="0" borderId="159" xfId="0" applyFont="1" applyBorder="1" applyAlignment="1">
      <alignment horizontal="left" vertical="top" wrapText="1"/>
    </xf>
    <xf numFmtId="0" fontId="21" fillId="0" borderId="181" xfId="0" applyFont="1" applyBorder="1" applyAlignment="1">
      <alignment horizontal="left" vertical="top" wrapText="1"/>
    </xf>
    <xf numFmtId="164" fontId="21" fillId="0" borderId="80" xfId="0" applyNumberFormat="1" applyFont="1" applyBorder="1" applyAlignment="1">
      <alignment horizontal="left" vertical="top" wrapText="1"/>
    </xf>
    <xf numFmtId="164" fontId="21" fillId="0" borderId="81" xfId="0" applyNumberFormat="1" applyFont="1" applyBorder="1" applyAlignment="1">
      <alignment horizontal="left" vertical="top" wrapText="1"/>
    </xf>
    <xf numFmtId="0" fontId="36" fillId="9" borderId="167" xfId="0" applyFont="1" applyFill="1" applyBorder="1" applyAlignment="1">
      <alignment horizontal="center" vertical="center" wrapText="1"/>
    </xf>
    <xf numFmtId="0" fontId="36" fillId="9" borderId="171" xfId="0" applyFont="1" applyFill="1" applyBorder="1" applyAlignment="1">
      <alignment horizontal="center" vertical="center" wrapText="1"/>
    </xf>
    <xf numFmtId="0" fontId="29" fillId="2" borderId="0" xfId="0" applyFont="1" applyFill="1" applyAlignment="1">
      <alignment horizontal="center" wrapText="1"/>
    </xf>
    <xf numFmtId="0" fontId="16" fillId="2" borderId="0" xfId="0" applyFont="1" applyFill="1" applyAlignment="1">
      <alignment horizontal="center" vertical="center"/>
    </xf>
    <xf numFmtId="2" fontId="16" fillId="2" borderId="0" xfId="0" applyNumberFormat="1" applyFont="1" applyFill="1" applyAlignment="1">
      <alignment horizontal="center" vertical="center"/>
    </xf>
    <xf numFmtId="0" fontId="22" fillId="15" borderId="108" xfId="0" applyFont="1" applyFill="1" applyBorder="1" applyAlignment="1">
      <alignment horizontal="center" vertical="center" wrapText="1"/>
    </xf>
    <xf numFmtId="0" fontId="22" fillId="15" borderId="98" xfId="0" applyFont="1" applyFill="1" applyBorder="1" applyAlignment="1">
      <alignment horizontal="center" vertical="center" wrapText="1"/>
    </xf>
    <xf numFmtId="0" fontId="22" fillId="15" borderId="107" xfId="0" applyFont="1" applyFill="1" applyBorder="1" applyAlignment="1">
      <alignment horizontal="center" vertical="center" wrapText="1"/>
    </xf>
    <xf numFmtId="0" fontId="22" fillId="15" borderId="169" xfId="0" applyFont="1" applyFill="1" applyBorder="1" applyAlignment="1">
      <alignment horizontal="center" vertical="center" wrapText="1"/>
    </xf>
    <xf numFmtId="0" fontId="22" fillId="15" borderId="170" xfId="0" applyFont="1" applyFill="1" applyBorder="1" applyAlignment="1">
      <alignment horizontal="center" vertical="center" wrapText="1"/>
    </xf>
    <xf numFmtId="164" fontId="16" fillId="2" borderId="0" xfId="0" applyNumberFormat="1" applyFont="1" applyFill="1" applyAlignment="1">
      <alignment horizontal="right" vertical="center" wrapText="1"/>
    </xf>
    <xf numFmtId="0" fontId="51" fillId="2" borderId="0" xfId="0" applyFont="1" applyFill="1" applyAlignment="1">
      <alignment horizontal="left" vertical="center" wrapText="1"/>
    </xf>
    <xf numFmtId="0" fontId="22" fillId="15" borderId="139" xfId="0" applyFont="1" applyFill="1" applyBorder="1" applyAlignment="1">
      <alignment horizontal="center" vertical="center" wrapText="1"/>
    </xf>
    <xf numFmtId="0" fontId="22" fillId="15" borderId="87" xfId="0" applyFont="1" applyFill="1" applyBorder="1" applyAlignment="1">
      <alignment horizontal="center" vertical="center" wrapText="1"/>
    </xf>
    <xf numFmtId="0" fontId="16" fillId="2" borderId="0" xfId="0" applyFont="1" applyFill="1" applyAlignment="1">
      <alignment horizontal="left" vertical="center" wrapText="1"/>
    </xf>
    <xf numFmtId="0" fontId="29" fillId="9" borderId="133" xfId="0" applyFont="1" applyFill="1" applyBorder="1" applyAlignment="1">
      <alignment horizontal="center" vertical="center" wrapText="1"/>
    </xf>
    <xf numFmtId="0" fontId="29" fillId="9" borderId="134" xfId="0" applyFont="1" applyFill="1" applyBorder="1" applyAlignment="1">
      <alignment horizontal="center" vertical="center" wrapText="1"/>
    </xf>
  </cellXfs>
  <cellStyles count="4">
    <cellStyle name="Hyperlinkki" xfId="1" builtinId="8"/>
    <cellStyle name="Linkkinappula" xfId="3" xr:uid="{F9BB00F5-1E95-6548-856E-E716ADB44BC9}"/>
    <cellStyle name="Normaali" xfId="0" builtinId="0"/>
    <cellStyle name="Selittävä teksti" xfId="2" builtinId="53"/>
  </cellStyles>
  <dxfs count="20">
    <dxf>
      <font>
        <color rgb="FF006100"/>
      </font>
      <fill>
        <patternFill>
          <bgColor rgb="FFC6EFCE"/>
        </patternFill>
      </fill>
    </dxf>
    <dxf>
      <font>
        <color rgb="FF9C0006"/>
      </font>
      <fill>
        <patternFill>
          <bgColor rgb="FFFFC7CE"/>
        </patternFill>
      </fill>
    </dxf>
    <dxf>
      <font>
        <color rgb="FFFF0000"/>
      </font>
      <fill>
        <patternFill>
          <bgColor rgb="FFFFFC84"/>
        </patternFill>
      </fill>
    </dxf>
    <dxf>
      <font>
        <strike val="0"/>
        <color auto="1"/>
      </font>
      <numFmt numFmtId="166" formatCode="&quot;ei elementtiä&quot;"/>
      <fill>
        <patternFill patternType="solid">
          <fgColor auto="1"/>
          <bgColor auto="1"/>
        </patternFill>
      </fill>
    </dxf>
    <dxf>
      <font>
        <strike val="0"/>
        <color rgb="FFFF0000"/>
      </font>
      <fill>
        <patternFill>
          <bgColor rgb="FFFFFF00"/>
        </patternFill>
      </fill>
    </dxf>
    <dxf>
      <font>
        <strike val="0"/>
        <color rgb="FFFF0000"/>
      </font>
      <fill>
        <patternFill>
          <bgColor rgb="FFFFFF00"/>
        </patternFill>
      </fill>
    </dxf>
    <dxf>
      <fill>
        <patternFill>
          <bgColor rgb="FFEFF1F5"/>
        </patternFill>
      </fill>
    </dxf>
    <dxf>
      <font>
        <color rgb="FFFF0000"/>
      </font>
      <fill>
        <patternFill>
          <bgColor rgb="FFFFFF00"/>
        </patternFill>
      </fill>
    </dxf>
    <dxf>
      <fill>
        <patternFill>
          <bgColor theme="5" tint="0.39994506668294322"/>
        </patternFill>
      </fill>
    </dxf>
    <dxf>
      <fill>
        <patternFill>
          <bgColor rgb="FFE0F1E8"/>
        </patternFill>
      </fill>
    </dxf>
    <dxf>
      <fill>
        <patternFill>
          <bgColor rgb="FFC2E4D2"/>
        </patternFill>
      </fill>
    </dxf>
    <dxf>
      <fill>
        <patternFill>
          <bgColor rgb="FFFEE0C3"/>
        </patternFill>
      </fill>
    </dxf>
    <dxf>
      <numFmt numFmtId="167" formatCode="General\ &quot; is below target level!&quot;"/>
    </dxf>
    <dxf>
      <numFmt numFmtId="167" formatCode="General\ &quot; is below target level!&quot;"/>
    </dxf>
    <dxf>
      <font>
        <strike val="0"/>
        <color rgb="FFFF0000"/>
      </font>
      <fill>
        <patternFill>
          <bgColor rgb="FFFFFF00"/>
        </patternFill>
      </fill>
    </dxf>
    <dxf>
      <font>
        <strike val="0"/>
        <color rgb="FFFF0000"/>
      </font>
      <fill>
        <patternFill>
          <bgColor rgb="FFFFFF00"/>
        </patternFill>
      </fill>
    </dxf>
    <dxf>
      <fill>
        <patternFill>
          <bgColor rgb="FFFFC386"/>
        </patternFill>
      </fill>
    </dxf>
    <dxf>
      <font>
        <strike val="0"/>
      </font>
      <fill>
        <patternFill>
          <bgColor rgb="FFFEE0C3"/>
        </patternFill>
      </fill>
    </dxf>
    <dxf>
      <fill>
        <patternFill>
          <bgColor rgb="FFE0F1E8"/>
        </patternFill>
      </fill>
    </dxf>
    <dxf>
      <font>
        <strike val="0"/>
        <color auto="1"/>
      </font>
      <fill>
        <patternFill>
          <bgColor rgb="FFC2E4D2"/>
        </patternFill>
      </fill>
    </dxf>
  </dxfs>
  <tableStyles count="0" defaultTableStyle="TableStyleMedium2" defaultPivotStyle="PivotStyleLight16"/>
  <colors>
    <mruColors>
      <color rgb="FFFFA58E"/>
      <color rgb="FFD88C78"/>
      <color rgb="FF69C4A3"/>
      <color rgb="FFDEF0E9"/>
      <color rgb="FFE2EDF3"/>
      <color rgb="FFA6D9C4"/>
      <color rgb="FF7EBBD6"/>
      <color rgb="FFFED75D"/>
      <color rgb="FFAFD2E3"/>
      <color rgb="FFFFF4D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100"/>
            </a:pPr>
            <a:r>
              <a:rPr lang="sv-fi" sz="1100">
                <a:latin typeface="Arial" panose="020B0604020202020204" pitchFamily="34" charset="0"/>
                <a:cs typeface="Arial" panose="020B0604020202020204" pitchFamily="34" charset="0"/>
              </a:rPr>
              <a:t>Andel av den viktade grönkoefficienten </a:t>
            </a:r>
          </a:p>
          <a:p>
            <a:pPr>
              <a:defRPr sz="1100"/>
            </a:pPr>
            <a:r>
              <a:rPr lang="sv-fi" sz="1100">
                <a:latin typeface="Arial" panose="020B0604020202020204" pitchFamily="34" charset="0"/>
                <a:cs typeface="Arial" panose="020B0604020202020204" pitchFamily="34" charset="0"/>
              </a:rPr>
              <a:t>av den totala arealen, i procent</a:t>
            </a:r>
          </a:p>
        </c:rich>
      </c:tx>
      <c:layout>
        <c:manualLayout>
          <c:xMode val="edge"/>
          <c:yMode val="edge"/>
          <c:x val="0.24767027179468265"/>
          <c:y val="6.7351710385890025E-3"/>
        </c:manualLayout>
      </c:layout>
      <c:overlay val="1"/>
    </c:title>
    <c:autoTitleDeleted val="0"/>
    <c:plotArea>
      <c:layout>
        <c:manualLayout>
          <c:layoutTarget val="inner"/>
          <c:xMode val="edge"/>
          <c:yMode val="edge"/>
          <c:x val="7.4433334049694114E-2"/>
          <c:y val="0.22173404648865552"/>
          <c:w val="0.34408983588888853"/>
          <c:h val="0.77826595351134464"/>
        </c:manualLayout>
      </c:layout>
      <c:pieChart>
        <c:varyColors val="1"/>
        <c:ser>
          <c:idx val="0"/>
          <c:order val="0"/>
          <c:dPt>
            <c:idx val="0"/>
            <c:bubble3D val="0"/>
            <c:spPr>
              <a:solidFill>
                <a:srgbClr val="9ABF83"/>
              </a:solidFill>
            </c:spPr>
            <c:extLst>
              <c:ext xmlns:c16="http://schemas.microsoft.com/office/drawing/2014/chart" uri="{C3380CC4-5D6E-409C-BE32-E72D297353CC}">
                <c16:uniqueId val="{00000001-6C67-4236-8249-338D291D01CE}"/>
              </c:ext>
            </c:extLst>
          </c:dPt>
          <c:dPt>
            <c:idx val="1"/>
            <c:bubble3D val="0"/>
            <c:spPr>
              <a:solidFill>
                <a:srgbClr val="FFBF0E"/>
              </a:solidFill>
            </c:spPr>
            <c:extLst>
              <c:ext xmlns:c16="http://schemas.microsoft.com/office/drawing/2014/chart" uri="{C3380CC4-5D6E-409C-BE32-E72D297353CC}">
                <c16:uniqueId val="{00000002-6C67-4236-8249-338D291D01CE}"/>
              </c:ext>
            </c:extLst>
          </c:dPt>
          <c:dPt>
            <c:idx val="2"/>
            <c:bubble3D val="0"/>
            <c:spPr>
              <a:solidFill>
                <a:schemeClr val="bg1">
                  <a:lumMod val="75000"/>
                </a:schemeClr>
              </a:solidFill>
            </c:spPr>
            <c:extLst>
              <c:ext xmlns:c16="http://schemas.microsoft.com/office/drawing/2014/chart" uri="{C3380CC4-5D6E-409C-BE32-E72D297353CC}">
                <c16:uniqueId val="{00000003-6C67-4236-8249-338D291D01CE}"/>
              </c:ext>
            </c:extLst>
          </c:dPt>
          <c:dPt>
            <c:idx val="3"/>
            <c:bubble3D val="0"/>
            <c:spPr>
              <a:solidFill>
                <a:schemeClr val="accent1"/>
              </a:solidFill>
            </c:spPr>
            <c:extLst>
              <c:ext xmlns:c16="http://schemas.microsoft.com/office/drawing/2014/chart" uri="{C3380CC4-5D6E-409C-BE32-E72D297353CC}">
                <c16:uniqueId val="{00000004-6C67-4236-8249-338D291D01CE}"/>
              </c:ext>
            </c:extLst>
          </c:dPt>
          <c:dPt>
            <c:idx val="4"/>
            <c:bubble3D val="0"/>
            <c:spPr>
              <a:solidFill>
                <a:srgbClr val="FFFC84"/>
              </a:solidFill>
            </c:spPr>
            <c:extLst>
              <c:ext xmlns:c16="http://schemas.microsoft.com/office/drawing/2014/chart" uri="{C3380CC4-5D6E-409C-BE32-E72D297353CC}">
                <c16:uniqueId val="{00000005-6C67-4236-8249-338D291D01CE}"/>
              </c:ext>
            </c:extLst>
          </c:dPt>
          <c:dLbls>
            <c:dLbl>
              <c:idx val="0"/>
              <c:layout>
                <c:manualLayout>
                  <c:x val="1.0242783893419262E-2"/>
                  <c:y val="-2.8479224007189798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6C67-4236-8249-338D291D01CE}"/>
                </c:ext>
              </c:extLst>
            </c:dLbl>
            <c:dLbl>
              <c:idx val="1"/>
              <c:layout>
                <c:manualLayout>
                  <c:x val="1.6832921415031531E-2"/>
                  <c:y val="1.1880897882379374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6C67-4236-8249-338D291D01CE}"/>
                </c:ext>
              </c:extLst>
            </c:dLbl>
            <c:dLbl>
              <c:idx val="2"/>
              <c:layout>
                <c:manualLayout>
                  <c:x val="0"/>
                  <c:y val="0.23610105321390634"/>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6C67-4236-8249-338D291D01CE}"/>
                </c:ext>
              </c:extLst>
            </c:dLbl>
            <c:dLbl>
              <c:idx val="3"/>
              <c:layout>
                <c:manualLayout>
                  <c:x val="-3.8703046243475071E-2"/>
                  <c:y val="-6.8275998107277247E-3"/>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6C67-4236-8249-338D291D01CE}"/>
                </c:ext>
              </c:extLst>
            </c:dLbl>
            <c:dLbl>
              <c:idx val="4"/>
              <c:layout>
                <c:manualLayout>
                  <c:x val="-7.2895536477178748E-3"/>
                  <c:y val="-8.2745022203844429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6C67-4236-8249-338D291D01CE}"/>
                </c:ext>
              </c:extLst>
            </c:dLbl>
            <c:spPr>
              <a:noFill/>
              <a:ln>
                <a:noFill/>
              </a:ln>
              <a:effectLst/>
            </c:spPr>
            <c:txPr>
              <a:bodyPr/>
              <a:lstStyle/>
              <a:p>
                <a:pPr>
                  <a:defRPr sz="1000">
                    <a:latin typeface="Arial" panose="020B0604020202020204" pitchFamily="34" charset="0"/>
                    <a:cs typeface="Arial" panose="020B0604020202020204" pitchFamily="34" charset="0"/>
                  </a:defRPr>
                </a:pPr>
                <a:endParaRPr lang="fi-FI"/>
              </a:p>
            </c:txPr>
            <c:showLegendKey val="1"/>
            <c:showVal val="0"/>
            <c:showCatName val="0"/>
            <c:showSerName val="0"/>
            <c:showPercent val="1"/>
            <c:showBubbleSize val="0"/>
            <c:showLeaderLines val="1"/>
            <c:extLst>
              <c:ext xmlns:c15="http://schemas.microsoft.com/office/drawing/2012/chart" uri="{CE6537A1-D6FC-4f65-9D91-7224C49458BB}"/>
            </c:extLst>
          </c:dLbls>
          <c:cat>
            <c:strRef>
              <c:f>Painokertoimet!$AX$20:$AX$25</c:f>
              <c:strCache>
                <c:ptCount val="6"/>
                <c:pt idx="0">
                  <c:v>Säilytettävä kasvillisuus</c:v>
                </c:pt>
                <c:pt idx="1">
                  <c:v>Istutettava kasvillisuus</c:v>
                </c:pt>
                <c:pt idx="2">
                  <c:v>Viherkatot ja julkisivukasvillisuus</c:v>
                </c:pt>
                <c:pt idx="3">
                  <c:v>Pinnoitteet</c:v>
                </c:pt>
                <c:pt idx="4">
                  <c:v>Hulevesien hallintarakenteet</c:v>
                </c:pt>
                <c:pt idx="5">
                  <c:v>Bonuselementit</c:v>
                </c:pt>
              </c:strCache>
            </c:strRef>
          </c:cat>
          <c:val>
            <c:numRef>
              <c:f>Painokertoimet!$BD$20:$BD$25</c:f>
              <c:numCache>
                <c:formatCode>0.0\ %</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6-6C67-4236-8249-338D291D01CE}"/>
            </c:ext>
          </c:extLst>
        </c:ser>
        <c:dLbls>
          <c:showLegendKey val="0"/>
          <c:showVal val="0"/>
          <c:showCatName val="0"/>
          <c:showSerName val="0"/>
          <c:showPercent val="0"/>
          <c:showBubbleSize val="0"/>
          <c:showLeaderLines val="1"/>
        </c:dLbls>
        <c:firstSliceAng val="0"/>
      </c:pieChart>
    </c:plotArea>
    <c:legend>
      <c:legendPos val="r"/>
      <c:layout>
        <c:manualLayout>
          <c:xMode val="edge"/>
          <c:yMode val="edge"/>
          <c:x val="0.52276061815113928"/>
          <c:y val="0.53248091964837385"/>
          <c:w val="0.47347396674037806"/>
          <c:h val="0.42477445746262699"/>
        </c:manualLayout>
      </c:layout>
      <c:overlay val="0"/>
      <c:txPr>
        <a:bodyPr/>
        <a:lstStyle/>
        <a:p>
          <a:pPr>
            <a:defRPr sz="1050">
              <a:latin typeface="Arial" panose="020B0604020202020204" pitchFamily="34" charset="0"/>
              <a:cs typeface="Arial" panose="020B0604020202020204" pitchFamily="34" charset="0"/>
            </a:defRPr>
          </a:pPr>
          <a:endParaRPr lang="fi-FI"/>
        </a:p>
      </c:txPr>
    </c:legend>
    <c:plotVisOnly val="1"/>
    <c:dispBlanksAs val="zero"/>
    <c:showDLblsOverMax val="0"/>
  </c:chart>
  <c:spPr>
    <a:ln>
      <a:solidFill>
        <a:sysClr val="windowText" lastClr="000000"/>
      </a:solidFill>
    </a:ln>
  </c:spPr>
  <c:printSettings>
    <c:headerFooter/>
    <c:pageMargins b="0.75000000000000622" l="0.70000000000000062" r="0.70000000000000062" t="0.75000000000000622" header="0.30000000000000032" footer="0.3000000000000003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200"/>
            </a:pPr>
            <a:r>
              <a:rPr lang="sv-fi" sz="1200">
                <a:latin typeface="Arial" panose="020B0604020202020204" pitchFamily="34" charset="0"/>
                <a:cs typeface="Arial" panose="020B0604020202020204" pitchFamily="34" charset="0"/>
              </a:rPr>
              <a:t>Ifyllda element ( i procent av det totala antalet ifyllda element)</a:t>
            </a:r>
            <a:endParaRPr lang="fi-FI" sz="1200">
              <a:latin typeface="Arial" panose="020B0604020202020204" pitchFamily="34" charset="0"/>
              <a:cs typeface="Arial" panose="020B0604020202020204" pitchFamily="34" charset="0"/>
            </a:endParaRPr>
          </a:p>
        </c:rich>
      </c:tx>
      <c:layout>
        <c:manualLayout>
          <c:xMode val="edge"/>
          <c:yMode val="edge"/>
          <c:x val="0.17817179670722977"/>
          <c:y val="1.0749683417457072E-2"/>
        </c:manualLayout>
      </c:layout>
      <c:overlay val="1"/>
    </c:title>
    <c:autoTitleDeleted val="0"/>
    <c:plotArea>
      <c:layout>
        <c:manualLayout>
          <c:layoutTarget val="inner"/>
          <c:xMode val="edge"/>
          <c:yMode val="edge"/>
          <c:x val="0.13229268870681771"/>
          <c:y val="0.12574146195970301"/>
          <c:w val="0.80794405378752365"/>
          <c:h val="0.55078963999197428"/>
        </c:manualLayout>
      </c:layout>
      <c:barChart>
        <c:barDir val="col"/>
        <c:grouping val="clustered"/>
        <c:varyColors val="0"/>
        <c:ser>
          <c:idx val="0"/>
          <c:order val="0"/>
          <c:spPr>
            <a:solidFill>
              <a:srgbClr val="92D050"/>
            </a:solidFill>
          </c:spPr>
          <c:invertIfNegative val="0"/>
          <c:dPt>
            <c:idx val="0"/>
            <c:invertIfNegative val="0"/>
            <c:bubble3D val="0"/>
            <c:spPr>
              <a:solidFill>
                <a:srgbClr val="9ABF83"/>
              </a:solidFill>
            </c:spPr>
            <c:extLst>
              <c:ext xmlns:c16="http://schemas.microsoft.com/office/drawing/2014/chart" uri="{C3380CC4-5D6E-409C-BE32-E72D297353CC}">
                <c16:uniqueId val="{00000000-C057-F547-9220-2E981096D445}"/>
              </c:ext>
            </c:extLst>
          </c:dPt>
          <c:dPt>
            <c:idx val="1"/>
            <c:invertIfNegative val="0"/>
            <c:bubble3D val="0"/>
            <c:spPr>
              <a:solidFill>
                <a:srgbClr val="FFBF0E"/>
              </a:solidFill>
            </c:spPr>
            <c:extLst>
              <c:ext xmlns:c16="http://schemas.microsoft.com/office/drawing/2014/chart" uri="{C3380CC4-5D6E-409C-BE32-E72D297353CC}">
                <c16:uniqueId val="{00000001-C057-F547-9220-2E981096D445}"/>
              </c:ext>
            </c:extLst>
          </c:dPt>
          <c:dPt>
            <c:idx val="2"/>
            <c:invertIfNegative val="0"/>
            <c:bubble3D val="0"/>
            <c:spPr>
              <a:solidFill>
                <a:schemeClr val="bg1">
                  <a:lumMod val="75000"/>
                </a:schemeClr>
              </a:solidFill>
            </c:spPr>
            <c:extLst>
              <c:ext xmlns:c16="http://schemas.microsoft.com/office/drawing/2014/chart" uri="{C3380CC4-5D6E-409C-BE32-E72D297353CC}">
                <c16:uniqueId val="{00000002-C057-F547-9220-2E981096D445}"/>
              </c:ext>
            </c:extLst>
          </c:dPt>
          <c:dPt>
            <c:idx val="3"/>
            <c:invertIfNegative val="0"/>
            <c:bubble3D val="0"/>
            <c:spPr>
              <a:solidFill>
                <a:schemeClr val="accent1"/>
              </a:solidFill>
            </c:spPr>
            <c:extLst>
              <c:ext xmlns:c16="http://schemas.microsoft.com/office/drawing/2014/chart" uri="{C3380CC4-5D6E-409C-BE32-E72D297353CC}">
                <c16:uniqueId val="{00000003-C057-F547-9220-2E981096D445}"/>
              </c:ext>
            </c:extLst>
          </c:dPt>
          <c:dPt>
            <c:idx val="4"/>
            <c:invertIfNegative val="0"/>
            <c:bubble3D val="0"/>
            <c:spPr>
              <a:solidFill>
                <a:srgbClr val="FFFC84"/>
              </a:solidFill>
            </c:spPr>
            <c:extLst>
              <c:ext xmlns:c16="http://schemas.microsoft.com/office/drawing/2014/chart" uri="{C3380CC4-5D6E-409C-BE32-E72D297353CC}">
                <c16:uniqueId val="{00000004-C057-F547-9220-2E981096D445}"/>
              </c:ext>
            </c:extLst>
          </c:dPt>
          <c:cat>
            <c:strRef>
              <c:f>Resultat!$H$12:$H$17</c:f>
              <c:strCache>
                <c:ptCount val="6"/>
                <c:pt idx="0">
                  <c:v>Växtlighet som ska bevaras</c:v>
                </c:pt>
                <c:pt idx="1">
                  <c:v>Växtlighet som ska planteras</c:v>
                </c:pt>
                <c:pt idx="2">
                  <c:v>Gröna tak och fasadvegetation</c:v>
                </c:pt>
                <c:pt idx="3">
                  <c:v>Ytbeläggningar</c:v>
                </c:pt>
                <c:pt idx="4">
                  <c:v>Konstruktioner för dagvattenhantering</c:v>
                </c:pt>
                <c:pt idx="5">
                  <c:v>Bonuselement</c:v>
                </c:pt>
              </c:strCache>
            </c:strRef>
          </c:cat>
          <c:val>
            <c:numRef>
              <c:f>Painokertoimet!$BC$20:$BC$25</c:f>
              <c:numCache>
                <c:formatCode>0.0\ %</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0-A260-40B5-BF71-EB479D040C6F}"/>
            </c:ext>
          </c:extLst>
        </c:ser>
        <c:dLbls>
          <c:showLegendKey val="0"/>
          <c:showVal val="0"/>
          <c:showCatName val="0"/>
          <c:showSerName val="0"/>
          <c:showPercent val="0"/>
          <c:showBubbleSize val="0"/>
        </c:dLbls>
        <c:gapWidth val="150"/>
        <c:axId val="47544192"/>
        <c:axId val="47545728"/>
      </c:barChart>
      <c:catAx>
        <c:axId val="47544192"/>
        <c:scaling>
          <c:orientation val="minMax"/>
        </c:scaling>
        <c:delete val="0"/>
        <c:axPos val="b"/>
        <c:numFmt formatCode="General" sourceLinked="0"/>
        <c:majorTickMark val="out"/>
        <c:minorTickMark val="none"/>
        <c:tickLblPos val="nextTo"/>
        <c:txPr>
          <a:bodyPr rot="-5400000" vert="horz"/>
          <a:lstStyle/>
          <a:p>
            <a:pPr>
              <a:defRPr sz="1000">
                <a:latin typeface="Arial" panose="020B0604020202020204" pitchFamily="34" charset="0"/>
                <a:cs typeface="Arial" panose="020B0604020202020204" pitchFamily="34" charset="0"/>
              </a:defRPr>
            </a:pPr>
            <a:endParaRPr lang="fi-FI"/>
          </a:p>
        </c:txPr>
        <c:crossAx val="47545728"/>
        <c:crosses val="autoZero"/>
        <c:auto val="1"/>
        <c:lblAlgn val="ctr"/>
        <c:lblOffset val="100"/>
        <c:noMultiLvlLbl val="0"/>
      </c:catAx>
      <c:valAx>
        <c:axId val="47545728"/>
        <c:scaling>
          <c:orientation val="minMax"/>
          <c:max val="1"/>
        </c:scaling>
        <c:delete val="0"/>
        <c:axPos val="l"/>
        <c:majorGridlines/>
        <c:numFmt formatCode="0%" sourceLinked="0"/>
        <c:majorTickMark val="out"/>
        <c:minorTickMark val="none"/>
        <c:tickLblPos val="nextTo"/>
        <c:txPr>
          <a:bodyPr/>
          <a:lstStyle/>
          <a:p>
            <a:pPr>
              <a:defRPr>
                <a:latin typeface="Arial" panose="020B0604020202020204" pitchFamily="34" charset="0"/>
                <a:cs typeface="Arial" panose="020B0604020202020204" pitchFamily="34" charset="0"/>
              </a:defRPr>
            </a:pPr>
            <a:endParaRPr lang="fi-FI"/>
          </a:p>
        </c:txPr>
        <c:crossAx val="47544192"/>
        <c:crosses val="autoZero"/>
        <c:crossBetween val="between"/>
      </c:valAx>
      <c:spPr>
        <a:ln>
          <a:solidFill>
            <a:schemeClr val="bg1">
              <a:lumMod val="50000"/>
            </a:schemeClr>
          </a:solidFill>
        </a:ln>
      </c:spPr>
    </c:plotArea>
    <c:plotVisOnly val="1"/>
    <c:dispBlanksAs val="gap"/>
    <c:showDLblsOverMax val="0"/>
  </c:chart>
  <c:spPr>
    <a:ln>
      <a:solidFill>
        <a:sysClr val="windowText" lastClr="000000"/>
      </a:solidFill>
    </a:ln>
  </c:spPr>
  <c:printSettings>
    <c:headerFooter/>
    <c:pageMargins b="0.750000000000006" l="0.70000000000000062" r="0.70000000000000062" t="0.750000000000006" header="0.30000000000000032" footer="0.3000000000000003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100"/>
            </a:pPr>
            <a:r>
              <a:rPr lang="sv-fi" sz="1100">
                <a:latin typeface="Arial" panose="020B0604020202020204" pitchFamily="34" charset="0"/>
                <a:cs typeface="Arial" panose="020B0604020202020204" pitchFamily="34" charset="0"/>
              </a:rPr>
              <a:t>Faktorer som betonas vid beräkningen, i procent</a:t>
            </a:r>
          </a:p>
        </c:rich>
      </c:tx>
      <c:layout>
        <c:manualLayout>
          <c:xMode val="edge"/>
          <c:yMode val="edge"/>
          <c:x val="0.25406031793195655"/>
          <c:y val="8.8888927772934279E-2"/>
        </c:manualLayout>
      </c:layout>
      <c:overlay val="1"/>
    </c:title>
    <c:autoTitleDeleted val="0"/>
    <c:plotArea>
      <c:layout>
        <c:manualLayout>
          <c:layoutTarget val="inner"/>
          <c:xMode val="edge"/>
          <c:yMode val="edge"/>
          <c:x val="7.4219543560137879E-2"/>
          <c:y val="0.26591524603752753"/>
          <c:w val="0.35563366300360688"/>
          <c:h val="0.75308015701577802"/>
        </c:manualLayout>
      </c:layout>
      <c:pieChart>
        <c:varyColors val="1"/>
        <c:ser>
          <c:idx val="0"/>
          <c:order val="0"/>
          <c:dPt>
            <c:idx val="0"/>
            <c:bubble3D val="0"/>
            <c:spPr>
              <a:solidFill>
                <a:srgbClr val="FFB2E8"/>
              </a:solidFill>
            </c:spPr>
            <c:extLst>
              <c:ext xmlns:c16="http://schemas.microsoft.com/office/drawing/2014/chart" uri="{C3380CC4-5D6E-409C-BE32-E72D297353CC}">
                <c16:uniqueId val="{00000000-4EA5-6A45-9ADA-61D3E944052E}"/>
              </c:ext>
            </c:extLst>
          </c:dPt>
          <c:dPt>
            <c:idx val="1"/>
            <c:bubble3D val="0"/>
            <c:spPr>
              <a:solidFill>
                <a:srgbClr val="B0C6FF"/>
              </a:solidFill>
            </c:spPr>
            <c:extLst>
              <c:ext xmlns:c16="http://schemas.microsoft.com/office/drawing/2014/chart" uri="{C3380CC4-5D6E-409C-BE32-E72D297353CC}">
                <c16:uniqueId val="{00000001-4EA5-6A45-9ADA-61D3E944052E}"/>
              </c:ext>
            </c:extLst>
          </c:dPt>
          <c:dPt>
            <c:idx val="2"/>
            <c:bubble3D val="0"/>
            <c:spPr>
              <a:solidFill>
                <a:srgbClr val="7A81FF"/>
              </a:solidFill>
            </c:spPr>
            <c:extLst>
              <c:ext xmlns:c16="http://schemas.microsoft.com/office/drawing/2014/chart" uri="{C3380CC4-5D6E-409C-BE32-E72D297353CC}">
                <c16:uniqueId val="{00000002-4EA5-6A45-9ADA-61D3E944052E}"/>
              </c:ext>
            </c:extLst>
          </c:dPt>
          <c:dPt>
            <c:idx val="3"/>
            <c:bubble3D val="0"/>
            <c:spPr>
              <a:solidFill>
                <a:srgbClr val="C050C9"/>
              </a:solidFill>
            </c:spPr>
            <c:extLst>
              <c:ext xmlns:c16="http://schemas.microsoft.com/office/drawing/2014/chart" uri="{C3380CC4-5D6E-409C-BE32-E72D297353CC}">
                <c16:uniqueId val="{00000003-4EA5-6A45-9ADA-61D3E944052E}"/>
              </c:ext>
            </c:extLst>
          </c:dPt>
          <c:dPt>
            <c:idx val="4"/>
            <c:bubble3D val="0"/>
            <c:spPr>
              <a:solidFill>
                <a:srgbClr val="FF71C9"/>
              </a:solidFill>
            </c:spPr>
            <c:extLst>
              <c:ext xmlns:c16="http://schemas.microsoft.com/office/drawing/2014/chart" uri="{C3380CC4-5D6E-409C-BE32-E72D297353CC}">
                <c16:uniqueId val="{00000005-4EA5-6A45-9ADA-61D3E944052E}"/>
              </c:ext>
            </c:extLst>
          </c:dPt>
          <c:dLbls>
            <c:dLbl>
              <c:idx val="0"/>
              <c:layout>
                <c:manualLayout>
                  <c:x val="2.20265311935697E-2"/>
                  <c:y val="7.914510686163706E-4"/>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0-4EA5-6A45-9ADA-61D3E944052E}"/>
                </c:ext>
              </c:extLst>
            </c:dLbl>
            <c:dLbl>
              <c:idx val="1"/>
              <c:layout>
                <c:manualLayout>
                  <c:x val="2.2674482293595446E-2"/>
                  <c:y val="-4.9050143446281447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4EA5-6A45-9ADA-61D3E944052E}"/>
                </c:ext>
              </c:extLst>
            </c:dLbl>
            <c:dLbl>
              <c:idx val="2"/>
              <c:layout>
                <c:manualLayout>
                  <c:x val="-0.16624088417930527"/>
                  <c:y val="8.4283464566929145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4EA5-6A45-9ADA-61D3E944052E}"/>
                </c:ext>
              </c:extLst>
            </c:dLbl>
            <c:dLbl>
              <c:idx val="3"/>
              <c:layout>
                <c:manualLayout>
                  <c:x val="2.5764968058238002E-3"/>
                  <c:y val="-9.724851148228849E-3"/>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4EA5-6A45-9ADA-61D3E944052E}"/>
                </c:ext>
              </c:extLst>
            </c:dLbl>
            <c:dLbl>
              <c:idx val="4"/>
              <c:layout>
                <c:manualLayout>
                  <c:x val="-2.8887138343306972E-3"/>
                  <c:y val="-3.2085939257592802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4EA5-6A45-9ADA-61D3E944052E}"/>
                </c:ext>
              </c:extLst>
            </c:dLbl>
            <c:spPr>
              <a:noFill/>
              <a:ln>
                <a:noFill/>
              </a:ln>
              <a:effectLst/>
            </c:spPr>
            <c:txPr>
              <a:bodyPr/>
              <a:lstStyle/>
              <a:p>
                <a:pPr>
                  <a:defRPr sz="1000">
                    <a:latin typeface="Arial" panose="020B0604020202020204" pitchFamily="34" charset="0"/>
                    <a:cs typeface="Arial" panose="020B0604020202020204" pitchFamily="34" charset="0"/>
                  </a:defRPr>
                </a:pPr>
                <a:endParaRPr lang="fi-FI"/>
              </a:p>
            </c:txPr>
            <c:showLegendKey val="1"/>
            <c:showVal val="0"/>
            <c:showCatName val="0"/>
            <c:showSerName val="0"/>
            <c:showPercent val="1"/>
            <c:showBubbleSize val="0"/>
            <c:showLeaderLines val="1"/>
            <c:extLst>
              <c:ext xmlns:c15="http://schemas.microsoft.com/office/drawing/2012/chart" uri="{CE6537A1-D6FC-4f65-9D91-7224C49458BB}"/>
            </c:extLst>
          </c:dLbls>
          <c:cat>
            <c:strRef>
              <c:f>Painokertoimet!$AY$17:$BC$17</c:f>
              <c:strCache>
                <c:ptCount val="5"/>
                <c:pt idx="0">
                  <c:v>Ekologisuus</c:v>
                </c:pt>
                <c:pt idx="1">
                  <c:v>Toiminnallisuus</c:v>
                </c:pt>
                <c:pt idx="2">
                  <c:v>Maisema-arvo</c:v>
                </c:pt>
                <c:pt idx="3">
                  <c:v>Kunnossapito</c:v>
                </c:pt>
                <c:pt idx="4">
                  <c:v>Hulevesi</c:v>
                </c:pt>
              </c:strCache>
            </c:strRef>
          </c:cat>
          <c:val>
            <c:numRef>
              <c:f>Painokertoimet!$AY$18:$BC$18</c:f>
              <c:numCache>
                <c:formatCode>0.0\ %</c:formatCode>
                <c:ptCount val="5"/>
                <c:pt idx="0">
                  <c:v>0.34894375159073554</c:v>
                </c:pt>
                <c:pt idx="1">
                  <c:v>0.22193942479002288</c:v>
                </c:pt>
                <c:pt idx="2">
                  <c:v>0</c:v>
                </c:pt>
                <c:pt idx="3">
                  <c:v>0.15423771952150675</c:v>
                </c:pt>
                <c:pt idx="4">
                  <c:v>0.27487910409773481</c:v>
                </c:pt>
              </c:numCache>
            </c:numRef>
          </c:val>
          <c:extLst>
            <c:ext xmlns:c16="http://schemas.microsoft.com/office/drawing/2014/chart" uri="{C3380CC4-5D6E-409C-BE32-E72D297353CC}">
              <c16:uniqueId val="{00000004-4EA5-6A45-9ADA-61D3E944052E}"/>
            </c:ext>
          </c:extLst>
        </c:ser>
        <c:dLbls>
          <c:showLegendKey val="0"/>
          <c:showVal val="0"/>
          <c:showCatName val="0"/>
          <c:showSerName val="0"/>
          <c:showPercent val="0"/>
          <c:showBubbleSize val="0"/>
          <c:showLeaderLines val="1"/>
        </c:dLbls>
        <c:firstSliceAng val="0"/>
      </c:pieChart>
    </c:plotArea>
    <c:legend>
      <c:legendPos val="r"/>
      <c:layout>
        <c:manualLayout>
          <c:xMode val="edge"/>
          <c:yMode val="edge"/>
          <c:x val="0.52716565146337835"/>
          <c:y val="0.55853655229070531"/>
          <c:w val="0.28411972223933707"/>
          <c:h val="0.40176015608668375"/>
        </c:manualLayout>
      </c:layout>
      <c:overlay val="0"/>
      <c:txPr>
        <a:bodyPr/>
        <a:lstStyle/>
        <a:p>
          <a:pPr>
            <a:defRPr sz="1050">
              <a:latin typeface="Arial" panose="020B0604020202020204" pitchFamily="34" charset="0"/>
              <a:cs typeface="Arial" panose="020B0604020202020204" pitchFamily="34" charset="0"/>
            </a:defRPr>
          </a:pPr>
          <a:endParaRPr lang="fi-FI"/>
        </a:p>
      </c:txPr>
    </c:legend>
    <c:plotVisOnly val="1"/>
    <c:dispBlanksAs val="zero"/>
    <c:showDLblsOverMax val="0"/>
  </c:chart>
  <c:spPr>
    <a:noFill/>
    <a:ln>
      <a:solidFill>
        <a:sysClr val="windowText" lastClr="000000"/>
      </a:solidFill>
    </a:ln>
  </c:spPr>
  <c:printSettings>
    <c:headerFooter/>
    <c:pageMargins b="0.75000000000001055" l="0.70000000000000062" r="0.70000000000000062" t="0.75000000000001055" header="0.30000000000000032" footer="0.30000000000000032"/>
    <c:pageSetup/>
  </c:printSettings>
</c:chartSpace>
</file>

<file path=xl/ctrlProps/ctrlProp1.xml><?xml version="1.0" encoding="utf-8"?>
<formControlPr xmlns="http://schemas.microsoft.com/office/spreadsheetml/2009/9/main" objectType="Radio" checked="Checked" firstButton="1" fmlaLink="$C$42" lockText="1" noThreeD="1"/>
</file>

<file path=xl/ctrlProps/ctrlProp2.xml><?xml version="1.0" encoding="utf-8"?>
<formControlPr xmlns="http://schemas.microsoft.com/office/spreadsheetml/2009/9/main" objectType="Radio" lockText="1" noThreeD="1"/>
</file>

<file path=xl/ctrlProps/ctrlProp3.xml><?xml version="1.0" encoding="utf-8"?>
<formControlPr xmlns="http://schemas.microsoft.com/office/spreadsheetml/2009/9/main" objectType="Radio" lockText="1" noThreeD="1"/>
</file>

<file path=xl/ctrlProps/ctrlProp4.xml><?xml version="1.0" encoding="utf-8"?>
<formControlPr xmlns="http://schemas.microsoft.com/office/spreadsheetml/2009/9/main" objectType="Radio" lockText="1" noThreeD="1"/>
</file>

<file path=xl/ctrlProps/ctrlProp5.xml><?xml version="1.0" encoding="utf-8"?>
<formControlPr xmlns="http://schemas.microsoft.com/office/spreadsheetml/2009/9/main" objectType="GBox" noThreeD="1"/>
</file>

<file path=xl/ctrlProps/ctrlProp6.xml><?xml version="1.0" encoding="utf-8"?>
<formControlPr xmlns="http://schemas.microsoft.com/office/spreadsheetml/2009/9/main" objectType="GBox" noThreeD="1"/>
</file>

<file path=xl/ctrlProps/ctrlProp7.xml><?xml version="1.0" encoding="utf-8"?>
<formControlPr xmlns="http://schemas.microsoft.com/office/spreadsheetml/2009/9/main" objectType="Radio" lockText="1" noThreeD="1"/>
</file>

<file path=xl/ctrlProps/ctrlProp8.xml><?xml version="1.0" encoding="utf-8"?>
<formControlPr xmlns="http://schemas.microsoft.com/office/spreadsheetml/2009/9/main" objectType="Radio" lockText="1" noThreeD="1"/>
</file>

<file path=xl/ctrlProps/ctrlProp9.xml><?xml version="1.0" encoding="utf-8"?>
<formControlPr xmlns="http://schemas.microsoft.com/office/spreadsheetml/2009/9/main" objectType="CheckBox" fmlaLink="$F$46" lockText="1" noThreeD="1"/>
</file>

<file path=xl/ctrlProps/ctrlProp10.xml><?xml version="1.0" encoding="utf-8"?>
<formControlPr xmlns="http://schemas.microsoft.com/office/spreadsheetml/2009/9/main" objectType="CheckBox" fmlaLink="$F$45" lockText="1" noThreeD="1"/>
</file>

<file path=xl/ctrlProps/ctrlProp11.xml><?xml version="1.0" encoding="utf-8"?>
<formControlPr xmlns="http://schemas.microsoft.com/office/spreadsheetml/2009/9/main" objectType="CheckBox" fmlaLink="$F$47" lockText="1" noThreeD="1"/>
</file>

<file path=xl/ctrlProps/ctrlProp12.xml><?xml version="1.0" encoding="utf-8"?>
<formControlPr xmlns="http://schemas.microsoft.com/office/spreadsheetml/2009/9/main" objectType="CheckBox" fmlaLink="$F$53" lockText="1" noThreeD="1"/>
</file>

<file path=xl/ctrlProps/ctrlProp13.xml><?xml version="1.0" encoding="utf-8"?>
<formControlPr xmlns="http://schemas.microsoft.com/office/spreadsheetml/2009/9/main" objectType="CheckBox" fmlaLink="$F$55" lockText="1" noThreeD="1"/>
</file>

<file path=xl/ctrlProps/ctrlProp14.xml><?xml version="1.0" encoding="utf-8"?>
<formControlPr xmlns="http://schemas.microsoft.com/office/spreadsheetml/2009/9/main" objectType="CheckBox" fmlaLink="$F$54" lockText="1" noThreeD="1"/>
</file>

<file path=xl/ctrlProps/ctrlProp15.xml><?xml version="1.0" encoding="utf-8"?>
<formControlPr xmlns="http://schemas.microsoft.com/office/spreadsheetml/2009/9/main" objectType="CheckBox" fmlaLink="$F$36" lockText="1" noThreeD="1"/>
</file>

<file path=xl/ctrlProps/ctrlProp16.xml><?xml version="1.0" encoding="utf-8"?>
<formControlPr xmlns="http://schemas.microsoft.com/office/spreadsheetml/2009/9/main" objectType="CheckBox" fmlaLink="$F$35" lockText="1" noThreeD="1"/>
</file>

<file path=xl/ctrlProps/ctrlProp17.xml><?xml version="1.0" encoding="utf-8"?>
<formControlPr xmlns="http://schemas.microsoft.com/office/spreadsheetml/2009/9/main" objectType="CheckBox" fmlaLink="$F$41" lockText="1" noThreeD="1"/>
</file>

<file path=xl/ctrlProps/ctrlProp18.xml><?xml version="1.0" encoding="utf-8"?>
<formControlPr xmlns="http://schemas.microsoft.com/office/spreadsheetml/2009/9/main" objectType="CheckBox" fmlaLink="$F$42" lockText="1" noThreeD="1"/>
</file>

<file path=xl/ctrlProps/ctrlProp19.xml><?xml version="1.0" encoding="utf-8"?>
<formControlPr xmlns="http://schemas.microsoft.com/office/spreadsheetml/2009/9/main" objectType="CheckBox" fmlaLink="$F$43" lockText="1" noThreeD="1"/>
</file>

<file path=xl/ctrlProps/ctrlProp20.xml><?xml version="1.0" encoding="utf-8"?>
<formControlPr xmlns="http://schemas.microsoft.com/office/spreadsheetml/2009/9/main" objectType="CheckBox" fmlaLink="$F$44" lockText="1" noThreeD="1"/>
</file>

<file path=xl/ctrlProps/ctrlProp21.xml><?xml version="1.0" encoding="utf-8"?>
<formControlPr xmlns="http://schemas.microsoft.com/office/spreadsheetml/2009/9/main" objectType="CheckBox" fmlaLink="$F$39" lockText="1" noThreeD="1"/>
</file>

<file path=xl/ctrlProps/ctrlProp22.xml><?xml version="1.0" encoding="utf-8"?>
<formControlPr xmlns="http://schemas.microsoft.com/office/spreadsheetml/2009/9/main" objectType="CheckBox" fmlaLink="$F$37" lockText="1" noThreeD="1"/>
</file>

<file path=xl/ctrlProps/ctrlProp23.xml><?xml version="1.0" encoding="utf-8"?>
<formControlPr xmlns="http://schemas.microsoft.com/office/spreadsheetml/2009/9/main" objectType="CheckBox" fmlaLink="$F$52" lockText="1" noThreeD="1"/>
</file>

<file path=xl/ctrlProps/ctrlProp24.xml><?xml version="1.0" encoding="utf-8"?>
<formControlPr xmlns="http://schemas.microsoft.com/office/spreadsheetml/2009/9/main" objectType="CheckBox" fmlaLink="$F$38" lockText="1" noThreeD="1"/>
</file>

<file path=xl/ctrlProps/ctrlProp25.xml><?xml version="1.0" encoding="utf-8"?>
<formControlPr xmlns="http://schemas.microsoft.com/office/spreadsheetml/2009/9/main" objectType="CheckBox" fmlaLink="$F$48" lockText="1" noThreeD="1"/>
</file>

<file path=xl/ctrlProps/ctrlProp26.xml><?xml version="1.0" encoding="utf-8"?>
<formControlPr xmlns="http://schemas.microsoft.com/office/spreadsheetml/2009/9/main" objectType="CheckBox" fmlaLink="$F$52" lockText="1" noThreeD="1"/>
</file>

<file path=xl/ctrlProps/ctrlProp27.xml><?xml version="1.0" encoding="utf-8"?>
<formControlPr xmlns="http://schemas.microsoft.com/office/spreadsheetml/2009/9/main" objectType="CheckBox" fmlaLink="$F$48" lockText="1" noThreeD="1"/>
</file>

<file path=xl/ctrlProps/ctrlProp28.xml><?xml version="1.0" encoding="utf-8"?>
<formControlPr xmlns="http://schemas.microsoft.com/office/spreadsheetml/2009/9/main" objectType="CheckBox" fmlaLink="$F$49" lockText="1" noThreeD="1"/>
</file>

<file path=xl/ctrlProps/ctrlProp29.xml><?xml version="1.0" encoding="utf-8"?>
<formControlPr xmlns="http://schemas.microsoft.com/office/spreadsheetml/2009/9/main" objectType="CheckBox" fmlaLink="$F$50" lockText="1" noThreeD="1"/>
</file>

<file path=xl/ctrlProps/ctrlProp30.xml><?xml version="1.0" encoding="utf-8"?>
<formControlPr xmlns="http://schemas.microsoft.com/office/spreadsheetml/2009/9/main" objectType="CheckBox" fmlaLink="$F$51" lockText="1" noThreeD="1"/>
</file>

<file path=xl/ctrlProps/ctrlProp31.xml><?xml version="1.0" encoding="utf-8"?>
<formControlPr xmlns="http://schemas.microsoft.com/office/spreadsheetml/2009/9/main" objectType="CheckBox" fmlaLink="$F$40" lockText="1" noThreeD="1"/>
</file>

<file path=xl/ctrlProps/ctrlProp32.xml><?xml version="1.0" encoding="utf-8"?>
<formControlPr xmlns="http://schemas.microsoft.com/office/spreadsheetml/2009/9/main" objectType="Button" lockText="1"/>
</file>

<file path=xl/ctrlProps/ctrlProp33.xml><?xml version="1.0" encoding="utf-8"?>
<formControlPr xmlns="http://schemas.microsoft.com/office/spreadsheetml/2009/9/main" objectType="Button" lockText="1"/>
</file>

<file path=xl/ctrlProps/ctrlProp34.xml><?xml version="1.0" encoding="utf-8"?>
<formControlPr xmlns="http://schemas.microsoft.com/office/spreadsheetml/2009/9/main" objectType="Button" lockText="1"/>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4" Type="http://schemas.openxmlformats.org/officeDocument/2006/relationships/image" Target="../media/image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2.jpeg"/><Relationship Id="rId13" Type="http://schemas.openxmlformats.org/officeDocument/2006/relationships/image" Target="../media/image17.png"/><Relationship Id="rId18" Type="http://schemas.openxmlformats.org/officeDocument/2006/relationships/image" Target="../media/image22.jpeg"/><Relationship Id="rId3" Type="http://schemas.openxmlformats.org/officeDocument/2006/relationships/image" Target="../media/image7.png"/><Relationship Id="rId21" Type="http://schemas.openxmlformats.org/officeDocument/2006/relationships/image" Target="../media/image25.png"/><Relationship Id="rId7" Type="http://schemas.openxmlformats.org/officeDocument/2006/relationships/image" Target="../media/image11.jpeg"/><Relationship Id="rId12" Type="http://schemas.openxmlformats.org/officeDocument/2006/relationships/image" Target="../media/image16.png"/><Relationship Id="rId17" Type="http://schemas.openxmlformats.org/officeDocument/2006/relationships/image" Target="../media/image21.png"/><Relationship Id="rId2" Type="http://schemas.openxmlformats.org/officeDocument/2006/relationships/image" Target="../media/image6.png"/><Relationship Id="rId16" Type="http://schemas.openxmlformats.org/officeDocument/2006/relationships/image" Target="../media/image20.png"/><Relationship Id="rId20" Type="http://schemas.openxmlformats.org/officeDocument/2006/relationships/image" Target="../media/image24.pn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png"/><Relationship Id="rId5" Type="http://schemas.openxmlformats.org/officeDocument/2006/relationships/image" Target="../media/image9.jpeg"/><Relationship Id="rId15" Type="http://schemas.openxmlformats.org/officeDocument/2006/relationships/image" Target="../media/image19.png"/><Relationship Id="rId23" Type="http://schemas.openxmlformats.org/officeDocument/2006/relationships/image" Target="../media/image27.png"/><Relationship Id="rId10" Type="http://schemas.openxmlformats.org/officeDocument/2006/relationships/image" Target="../media/image14.jpeg"/><Relationship Id="rId19" Type="http://schemas.openxmlformats.org/officeDocument/2006/relationships/image" Target="../media/image23.png"/><Relationship Id="rId4" Type="http://schemas.openxmlformats.org/officeDocument/2006/relationships/image" Target="../media/image8.png"/><Relationship Id="rId9" Type="http://schemas.openxmlformats.org/officeDocument/2006/relationships/image" Target="../media/image13.jpeg"/><Relationship Id="rId14" Type="http://schemas.openxmlformats.org/officeDocument/2006/relationships/image" Target="../media/image18.png"/><Relationship Id="rId22" Type="http://schemas.openxmlformats.org/officeDocument/2006/relationships/image" Target="../media/image26.png"/></Relationships>
</file>

<file path=xl/drawings/_rels/drawing6.xml.rels><?xml version="1.0" encoding="UTF-8" standalone="yes"?>
<Relationships xmlns="http://schemas.openxmlformats.org/package/2006/relationships"><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4</xdr:col>
      <xdr:colOff>149860</xdr:colOff>
      <xdr:row>2</xdr:row>
      <xdr:rowOff>63350</xdr:rowOff>
    </xdr:from>
    <xdr:to>
      <xdr:col>6</xdr:col>
      <xdr:colOff>27940</xdr:colOff>
      <xdr:row>4</xdr:row>
      <xdr:rowOff>316189</xdr:rowOff>
    </xdr:to>
    <xdr:pic>
      <xdr:nvPicPr>
        <xdr:cNvPr id="3" name="Kuva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1071860" y="825350"/>
          <a:ext cx="4297680" cy="159903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662958</xdr:colOff>
      <xdr:row>22</xdr:row>
      <xdr:rowOff>29253</xdr:rowOff>
    </xdr:from>
    <xdr:to>
      <xdr:col>3</xdr:col>
      <xdr:colOff>283374</xdr:colOff>
      <xdr:row>30</xdr:row>
      <xdr:rowOff>33760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29646" y="6452676"/>
          <a:ext cx="3659809" cy="3023534"/>
        </a:xfrm>
        <a:prstGeom prst="rect">
          <a:avLst/>
        </a:prstGeom>
      </xdr:spPr>
    </xdr:pic>
    <xdr:clientData/>
  </xdr:twoCellAnchor>
  <xdr:twoCellAnchor editAs="oneCell">
    <xdr:from>
      <xdr:col>3</xdr:col>
      <xdr:colOff>1121566</xdr:colOff>
      <xdr:row>24</xdr:row>
      <xdr:rowOff>224803</xdr:rowOff>
    </xdr:from>
    <xdr:to>
      <xdr:col>3</xdr:col>
      <xdr:colOff>3185462</xdr:colOff>
      <xdr:row>30</xdr:row>
      <xdr:rowOff>109393</xdr:rowOff>
    </xdr:to>
    <xdr:pic>
      <xdr:nvPicPr>
        <xdr:cNvPr id="6" name="Kuva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693566" y="9241803"/>
          <a:ext cx="2063896" cy="217059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7</xdr:col>
          <xdr:colOff>447675</xdr:colOff>
          <xdr:row>9</xdr:row>
          <xdr:rowOff>28575</xdr:rowOff>
        </xdr:from>
        <xdr:to>
          <xdr:col>7</xdr:col>
          <xdr:colOff>685800</xdr:colOff>
          <xdr:row>9</xdr:row>
          <xdr:rowOff>352425</xdr:rowOff>
        </xdr:to>
        <xdr:sp macro="" textlink="">
          <xdr:nvSpPr>
            <xdr:cNvPr id="3140" name="Option Button 68" hidden="1">
              <a:extLst>
                <a:ext uri="{63B3BB69-23CF-44E3-9099-C40C66FF867C}">
                  <a14:compatExt spid="_x0000_s3140"/>
                </a:ext>
                <a:ext uri="{FF2B5EF4-FFF2-40B4-BE49-F238E27FC236}">
                  <a16:creationId xmlns:a16="http://schemas.microsoft.com/office/drawing/2014/main" id="{00000000-0008-0000-0100-000044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447675</xdr:colOff>
          <xdr:row>10</xdr:row>
          <xdr:rowOff>28575</xdr:rowOff>
        </xdr:from>
        <xdr:to>
          <xdr:col>7</xdr:col>
          <xdr:colOff>714375</xdr:colOff>
          <xdr:row>10</xdr:row>
          <xdr:rowOff>352425</xdr:rowOff>
        </xdr:to>
        <xdr:sp macro="" textlink="">
          <xdr:nvSpPr>
            <xdr:cNvPr id="3141" name="Option Button 69" hidden="1">
              <a:extLst>
                <a:ext uri="{63B3BB69-23CF-44E3-9099-C40C66FF867C}">
                  <a14:compatExt spid="_x0000_s3141"/>
                </a:ext>
                <a:ext uri="{FF2B5EF4-FFF2-40B4-BE49-F238E27FC236}">
                  <a16:creationId xmlns:a16="http://schemas.microsoft.com/office/drawing/2014/main" id="{00000000-0008-0000-0100-000045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447675</xdr:colOff>
          <xdr:row>11</xdr:row>
          <xdr:rowOff>28575</xdr:rowOff>
        </xdr:from>
        <xdr:to>
          <xdr:col>7</xdr:col>
          <xdr:colOff>695325</xdr:colOff>
          <xdr:row>11</xdr:row>
          <xdr:rowOff>352425</xdr:rowOff>
        </xdr:to>
        <xdr:sp macro="" textlink="">
          <xdr:nvSpPr>
            <xdr:cNvPr id="3142" name="Option Button 70" hidden="1">
              <a:extLst>
                <a:ext uri="{63B3BB69-23CF-44E3-9099-C40C66FF867C}">
                  <a14:compatExt spid="_x0000_s3142"/>
                </a:ext>
                <a:ext uri="{FF2B5EF4-FFF2-40B4-BE49-F238E27FC236}">
                  <a16:creationId xmlns:a16="http://schemas.microsoft.com/office/drawing/2014/main" id="{00000000-0008-0000-0100-000046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447675</xdr:colOff>
          <xdr:row>12</xdr:row>
          <xdr:rowOff>28575</xdr:rowOff>
        </xdr:from>
        <xdr:to>
          <xdr:col>7</xdr:col>
          <xdr:colOff>685800</xdr:colOff>
          <xdr:row>12</xdr:row>
          <xdr:rowOff>352425</xdr:rowOff>
        </xdr:to>
        <xdr:sp macro="" textlink="">
          <xdr:nvSpPr>
            <xdr:cNvPr id="3143" name="Option Button 71" hidden="1">
              <a:extLst>
                <a:ext uri="{63B3BB69-23CF-44E3-9099-C40C66FF867C}">
                  <a14:compatExt spid="_x0000_s3143"/>
                </a:ext>
                <a:ext uri="{FF2B5EF4-FFF2-40B4-BE49-F238E27FC236}">
                  <a16:creationId xmlns:a16="http://schemas.microsoft.com/office/drawing/2014/main" id="{00000000-0008-0000-0100-000047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447675</xdr:colOff>
          <xdr:row>9</xdr:row>
          <xdr:rowOff>9525</xdr:rowOff>
        </xdr:from>
        <xdr:to>
          <xdr:col>8</xdr:col>
          <xdr:colOff>0</xdr:colOff>
          <xdr:row>14</xdr:row>
          <xdr:rowOff>371475</xdr:rowOff>
        </xdr:to>
        <xdr:sp macro="" textlink="">
          <xdr:nvSpPr>
            <xdr:cNvPr id="3145" name="Group Box 73" hidden="1">
              <a:extLst>
                <a:ext uri="{63B3BB69-23CF-44E3-9099-C40C66FF867C}">
                  <a14:compatExt spid="_x0000_s3145"/>
                </a:ext>
                <a:ext uri="{FF2B5EF4-FFF2-40B4-BE49-F238E27FC236}">
                  <a16:creationId xmlns:a16="http://schemas.microsoft.com/office/drawing/2014/main" id="{00000000-0008-0000-0100-0000490C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0</xdr:colOff>
          <xdr:row>15</xdr:row>
          <xdr:rowOff>0</xdr:rowOff>
        </xdr:from>
        <xdr:to>
          <xdr:col>8</xdr:col>
          <xdr:colOff>0</xdr:colOff>
          <xdr:row>15</xdr:row>
          <xdr:rowOff>371475</xdr:rowOff>
        </xdr:to>
        <xdr:sp macro="" textlink="">
          <xdr:nvSpPr>
            <xdr:cNvPr id="3152" name="Group Box 80" hidden="1">
              <a:extLst>
                <a:ext uri="{63B3BB69-23CF-44E3-9099-C40C66FF867C}">
                  <a14:compatExt spid="_x0000_s3152"/>
                </a:ext>
                <a:ext uri="{FF2B5EF4-FFF2-40B4-BE49-F238E27FC236}">
                  <a16:creationId xmlns:a16="http://schemas.microsoft.com/office/drawing/2014/main" id="{00000000-0008-0000-0100-0000500C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447675</xdr:colOff>
          <xdr:row>13</xdr:row>
          <xdr:rowOff>28575</xdr:rowOff>
        </xdr:from>
        <xdr:to>
          <xdr:col>7</xdr:col>
          <xdr:colOff>685800</xdr:colOff>
          <xdr:row>13</xdr:row>
          <xdr:rowOff>352425</xdr:rowOff>
        </xdr:to>
        <xdr:sp macro="" textlink="">
          <xdr:nvSpPr>
            <xdr:cNvPr id="3153" name="Option Button 81" hidden="1">
              <a:extLst>
                <a:ext uri="{63B3BB69-23CF-44E3-9099-C40C66FF867C}">
                  <a14:compatExt spid="_x0000_s3153"/>
                </a:ext>
                <a:ext uri="{FF2B5EF4-FFF2-40B4-BE49-F238E27FC236}">
                  <a16:creationId xmlns:a16="http://schemas.microsoft.com/office/drawing/2014/main" id="{00000000-0008-0000-0100-000051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447675</xdr:colOff>
          <xdr:row>14</xdr:row>
          <xdr:rowOff>28575</xdr:rowOff>
        </xdr:from>
        <xdr:to>
          <xdr:col>7</xdr:col>
          <xdr:colOff>714375</xdr:colOff>
          <xdr:row>14</xdr:row>
          <xdr:rowOff>352425</xdr:rowOff>
        </xdr:to>
        <xdr:sp macro="" textlink="">
          <xdr:nvSpPr>
            <xdr:cNvPr id="3154" name="Option Button 82" hidden="1">
              <a:extLst>
                <a:ext uri="{63B3BB69-23CF-44E3-9099-C40C66FF867C}">
                  <a14:compatExt spid="_x0000_s3154"/>
                </a:ext>
                <a:ext uri="{FF2B5EF4-FFF2-40B4-BE49-F238E27FC236}">
                  <a16:creationId xmlns:a16="http://schemas.microsoft.com/office/drawing/2014/main" id="{00000000-0008-0000-0100-000052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466725</xdr:colOff>
          <xdr:row>17</xdr:row>
          <xdr:rowOff>371475</xdr:rowOff>
        </xdr:from>
        <xdr:to>
          <xdr:col>6</xdr:col>
          <xdr:colOff>0</xdr:colOff>
          <xdr:row>18</xdr:row>
          <xdr:rowOff>371475</xdr:rowOff>
        </xdr:to>
        <xdr:sp macro="" textlink="">
          <xdr:nvSpPr>
            <xdr:cNvPr id="21532" name="Check Box 28" hidden="1">
              <a:extLst>
                <a:ext uri="{63B3BB69-23CF-44E3-9099-C40C66FF867C}">
                  <a14:compatExt spid="_x0000_s21532"/>
                </a:ext>
                <a:ext uri="{FF2B5EF4-FFF2-40B4-BE49-F238E27FC236}">
                  <a16:creationId xmlns:a16="http://schemas.microsoft.com/office/drawing/2014/main" id="{00000000-0008-0000-0300-00001C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16</xdr:row>
          <xdr:rowOff>371475</xdr:rowOff>
        </xdr:from>
        <xdr:to>
          <xdr:col>6</xdr:col>
          <xdr:colOff>0</xdr:colOff>
          <xdr:row>17</xdr:row>
          <xdr:rowOff>371475</xdr:rowOff>
        </xdr:to>
        <xdr:sp macro="" textlink="">
          <xdr:nvSpPr>
            <xdr:cNvPr id="21535" name="Check Box 31" hidden="1">
              <a:extLst>
                <a:ext uri="{63B3BB69-23CF-44E3-9099-C40C66FF867C}">
                  <a14:compatExt spid="_x0000_s21535"/>
                </a:ext>
                <a:ext uri="{FF2B5EF4-FFF2-40B4-BE49-F238E27FC236}">
                  <a16:creationId xmlns:a16="http://schemas.microsoft.com/office/drawing/2014/main" id="{00000000-0008-0000-0300-00001F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19</xdr:row>
          <xdr:rowOff>9525</xdr:rowOff>
        </xdr:from>
        <xdr:to>
          <xdr:col>6</xdr:col>
          <xdr:colOff>0</xdr:colOff>
          <xdr:row>20</xdr:row>
          <xdr:rowOff>9525</xdr:rowOff>
        </xdr:to>
        <xdr:sp macro="" textlink="">
          <xdr:nvSpPr>
            <xdr:cNvPr id="21537" name="Check Box 33" hidden="1">
              <a:extLst>
                <a:ext uri="{63B3BB69-23CF-44E3-9099-C40C66FF867C}">
                  <a14:compatExt spid="_x0000_s21537"/>
                </a:ext>
                <a:ext uri="{FF2B5EF4-FFF2-40B4-BE49-F238E27FC236}">
                  <a16:creationId xmlns:a16="http://schemas.microsoft.com/office/drawing/2014/main" id="{00000000-0008-0000-0300-000021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26</xdr:row>
          <xdr:rowOff>0</xdr:rowOff>
        </xdr:from>
        <xdr:to>
          <xdr:col>6</xdr:col>
          <xdr:colOff>0</xdr:colOff>
          <xdr:row>27</xdr:row>
          <xdr:rowOff>0</xdr:rowOff>
        </xdr:to>
        <xdr:sp macro="" textlink="">
          <xdr:nvSpPr>
            <xdr:cNvPr id="21538" name="Check Box 34" hidden="1">
              <a:extLst>
                <a:ext uri="{63B3BB69-23CF-44E3-9099-C40C66FF867C}">
                  <a14:compatExt spid="_x0000_s21538"/>
                </a:ext>
                <a:ext uri="{FF2B5EF4-FFF2-40B4-BE49-F238E27FC236}">
                  <a16:creationId xmlns:a16="http://schemas.microsoft.com/office/drawing/2014/main" id="{00000000-0008-0000-0300-000022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27</xdr:row>
          <xdr:rowOff>371475</xdr:rowOff>
        </xdr:from>
        <xdr:to>
          <xdr:col>6</xdr:col>
          <xdr:colOff>0</xdr:colOff>
          <xdr:row>28</xdr:row>
          <xdr:rowOff>371475</xdr:rowOff>
        </xdr:to>
        <xdr:sp macro="" textlink="">
          <xdr:nvSpPr>
            <xdr:cNvPr id="21539" name="Check Box 35" hidden="1">
              <a:extLst>
                <a:ext uri="{63B3BB69-23CF-44E3-9099-C40C66FF867C}">
                  <a14:compatExt spid="_x0000_s21539"/>
                </a:ext>
                <a:ext uri="{FF2B5EF4-FFF2-40B4-BE49-F238E27FC236}">
                  <a16:creationId xmlns:a16="http://schemas.microsoft.com/office/drawing/2014/main" id="{00000000-0008-0000-0300-000023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26</xdr:row>
          <xdr:rowOff>371475</xdr:rowOff>
        </xdr:from>
        <xdr:to>
          <xdr:col>6</xdr:col>
          <xdr:colOff>0</xdr:colOff>
          <xdr:row>27</xdr:row>
          <xdr:rowOff>371475</xdr:rowOff>
        </xdr:to>
        <xdr:sp macro="" textlink="">
          <xdr:nvSpPr>
            <xdr:cNvPr id="21540" name="Check Box 36" hidden="1">
              <a:extLst>
                <a:ext uri="{63B3BB69-23CF-44E3-9099-C40C66FF867C}">
                  <a14:compatExt spid="_x0000_s21540"/>
                </a:ext>
                <a:ext uri="{FF2B5EF4-FFF2-40B4-BE49-F238E27FC236}">
                  <a16:creationId xmlns:a16="http://schemas.microsoft.com/office/drawing/2014/main" id="{00000000-0008-0000-0300-000024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5</xdr:row>
          <xdr:rowOff>352425</xdr:rowOff>
        </xdr:from>
        <xdr:to>
          <xdr:col>6</xdr:col>
          <xdr:colOff>0</xdr:colOff>
          <xdr:row>6</xdr:row>
          <xdr:rowOff>352425</xdr:rowOff>
        </xdr:to>
        <xdr:sp macro="" textlink="">
          <xdr:nvSpPr>
            <xdr:cNvPr id="21545" name="Check Box 41" hidden="1">
              <a:extLst>
                <a:ext uri="{63B3BB69-23CF-44E3-9099-C40C66FF867C}">
                  <a14:compatExt spid="_x0000_s21545"/>
                </a:ext>
                <a:ext uri="{FF2B5EF4-FFF2-40B4-BE49-F238E27FC236}">
                  <a16:creationId xmlns:a16="http://schemas.microsoft.com/office/drawing/2014/main" id="{00000000-0008-0000-0300-000029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5</xdr:row>
          <xdr:rowOff>0</xdr:rowOff>
        </xdr:from>
        <xdr:to>
          <xdr:col>6</xdr:col>
          <xdr:colOff>0</xdr:colOff>
          <xdr:row>6</xdr:row>
          <xdr:rowOff>0</xdr:rowOff>
        </xdr:to>
        <xdr:sp macro="" textlink="">
          <xdr:nvSpPr>
            <xdr:cNvPr id="21546" name="Check Box 42" hidden="1">
              <a:extLst>
                <a:ext uri="{63B3BB69-23CF-44E3-9099-C40C66FF867C}">
                  <a14:compatExt spid="_x0000_s21546"/>
                </a:ext>
                <a:ext uri="{FF2B5EF4-FFF2-40B4-BE49-F238E27FC236}">
                  <a16:creationId xmlns:a16="http://schemas.microsoft.com/office/drawing/2014/main" id="{00000000-0008-0000-0300-00002A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12</xdr:row>
          <xdr:rowOff>9525</xdr:rowOff>
        </xdr:from>
        <xdr:to>
          <xdr:col>6</xdr:col>
          <xdr:colOff>0</xdr:colOff>
          <xdr:row>13</xdr:row>
          <xdr:rowOff>9525</xdr:rowOff>
        </xdr:to>
        <xdr:sp macro="" textlink="">
          <xdr:nvSpPr>
            <xdr:cNvPr id="21548" name="Check Box 44" hidden="1">
              <a:extLst>
                <a:ext uri="{63B3BB69-23CF-44E3-9099-C40C66FF867C}">
                  <a14:compatExt spid="_x0000_s21548"/>
                </a:ext>
                <a:ext uri="{FF2B5EF4-FFF2-40B4-BE49-F238E27FC236}">
                  <a16:creationId xmlns:a16="http://schemas.microsoft.com/office/drawing/2014/main" id="{00000000-0008-0000-0300-00002C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12</xdr:row>
          <xdr:rowOff>371475</xdr:rowOff>
        </xdr:from>
        <xdr:to>
          <xdr:col>6</xdr:col>
          <xdr:colOff>0</xdr:colOff>
          <xdr:row>13</xdr:row>
          <xdr:rowOff>371475</xdr:rowOff>
        </xdr:to>
        <xdr:sp macro="" textlink="">
          <xdr:nvSpPr>
            <xdr:cNvPr id="21550" name="Check Box 46" hidden="1">
              <a:extLst>
                <a:ext uri="{63B3BB69-23CF-44E3-9099-C40C66FF867C}">
                  <a14:compatExt spid="_x0000_s21550"/>
                </a:ext>
                <a:ext uri="{FF2B5EF4-FFF2-40B4-BE49-F238E27FC236}">
                  <a16:creationId xmlns:a16="http://schemas.microsoft.com/office/drawing/2014/main" id="{00000000-0008-0000-0300-00002E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13</xdr:row>
          <xdr:rowOff>371475</xdr:rowOff>
        </xdr:from>
        <xdr:to>
          <xdr:col>6</xdr:col>
          <xdr:colOff>0</xdr:colOff>
          <xdr:row>14</xdr:row>
          <xdr:rowOff>371475</xdr:rowOff>
        </xdr:to>
        <xdr:sp macro="" textlink="">
          <xdr:nvSpPr>
            <xdr:cNvPr id="21551" name="Check Box 47" hidden="1">
              <a:extLst>
                <a:ext uri="{63B3BB69-23CF-44E3-9099-C40C66FF867C}">
                  <a14:compatExt spid="_x0000_s21551"/>
                </a:ext>
                <a:ext uri="{FF2B5EF4-FFF2-40B4-BE49-F238E27FC236}">
                  <a16:creationId xmlns:a16="http://schemas.microsoft.com/office/drawing/2014/main" id="{00000000-0008-0000-0300-00002F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14</xdr:row>
          <xdr:rowOff>371475</xdr:rowOff>
        </xdr:from>
        <xdr:to>
          <xdr:col>6</xdr:col>
          <xdr:colOff>0</xdr:colOff>
          <xdr:row>15</xdr:row>
          <xdr:rowOff>371475</xdr:rowOff>
        </xdr:to>
        <xdr:sp macro="" textlink="">
          <xdr:nvSpPr>
            <xdr:cNvPr id="21552" name="Check Box 48" hidden="1">
              <a:extLst>
                <a:ext uri="{63B3BB69-23CF-44E3-9099-C40C66FF867C}">
                  <a14:compatExt spid="_x0000_s21552"/>
                </a:ext>
                <a:ext uri="{FF2B5EF4-FFF2-40B4-BE49-F238E27FC236}">
                  <a16:creationId xmlns:a16="http://schemas.microsoft.com/office/drawing/2014/main" id="{00000000-0008-0000-0300-000030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10</xdr:row>
          <xdr:rowOff>0</xdr:rowOff>
        </xdr:from>
        <xdr:to>
          <xdr:col>6</xdr:col>
          <xdr:colOff>0</xdr:colOff>
          <xdr:row>11</xdr:row>
          <xdr:rowOff>0</xdr:rowOff>
        </xdr:to>
        <xdr:sp macro="" textlink="">
          <xdr:nvSpPr>
            <xdr:cNvPr id="21553" name="Check Box 49" hidden="1">
              <a:extLst>
                <a:ext uri="{63B3BB69-23CF-44E3-9099-C40C66FF867C}">
                  <a14:compatExt spid="_x0000_s21553"/>
                </a:ext>
                <a:ext uri="{FF2B5EF4-FFF2-40B4-BE49-F238E27FC236}">
                  <a16:creationId xmlns:a16="http://schemas.microsoft.com/office/drawing/2014/main" id="{00000000-0008-0000-0300-000031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6</xdr:row>
          <xdr:rowOff>381000</xdr:rowOff>
        </xdr:from>
        <xdr:to>
          <xdr:col>5</xdr:col>
          <xdr:colOff>1190625</xdr:colOff>
          <xdr:row>8</xdr:row>
          <xdr:rowOff>0</xdr:rowOff>
        </xdr:to>
        <xdr:sp macro="" textlink="">
          <xdr:nvSpPr>
            <xdr:cNvPr id="21557" name="Check Box 53" hidden="1">
              <a:extLst>
                <a:ext uri="{63B3BB69-23CF-44E3-9099-C40C66FF867C}">
                  <a14:compatExt spid="_x0000_s21557"/>
                </a:ext>
                <a:ext uri="{FF2B5EF4-FFF2-40B4-BE49-F238E27FC236}">
                  <a16:creationId xmlns:a16="http://schemas.microsoft.com/office/drawing/2014/main" id="{00000000-0008-0000-0300-000035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24</xdr:row>
          <xdr:rowOff>0</xdr:rowOff>
        </xdr:from>
        <xdr:to>
          <xdr:col>6</xdr:col>
          <xdr:colOff>0</xdr:colOff>
          <xdr:row>25</xdr:row>
          <xdr:rowOff>0</xdr:rowOff>
        </xdr:to>
        <xdr:sp macro="" textlink="">
          <xdr:nvSpPr>
            <xdr:cNvPr id="21570" name="Check Box 66" hidden="1">
              <a:extLst>
                <a:ext uri="{63B3BB69-23CF-44E3-9099-C40C66FF867C}">
                  <a14:compatExt spid="_x0000_s21570"/>
                </a:ext>
                <a:ext uri="{FF2B5EF4-FFF2-40B4-BE49-F238E27FC236}">
                  <a16:creationId xmlns:a16="http://schemas.microsoft.com/office/drawing/2014/main" id="{00000000-0008-0000-0300-000042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7</xdr:row>
          <xdr:rowOff>381000</xdr:rowOff>
        </xdr:from>
        <xdr:to>
          <xdr:col>5</xdr:col>
          <xdr:colOff>1190625</xdr:colOff>
          <xdr:row>9</xdr:row>
          <xdr:rowOff>0</xdr:rowOff>
        </xdr:to>
        <xdr:sp macro="" textlink="">
          <xdr:nvSpPr>
            <xdr:cNvPr id="21583" name="Check Box 79" hidden="1">
              <a:extLst>
                <a:ext uri="{63B3BB69-23CF-44E3-9099-C40C66FF867C}">
                  <a14:compatExt spid="_x0000_s21583"/>
                </a:ext>
                <a:ext uri="{FF2B5EF4-FFF2-40B4-BE49-F238E27FC236}">
                  <a16:creationId xmlns:a16="http://schemas.microsoft.com/office/drawing/2014/main" id="{00000000-0008-0000-0300-00004F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24</xdr:row>
          <xdr:rowOff>0</xdr:rowOff>
        </xdr:from>
        <xdr:to>
          <xdr:col>6</xdr:col>
          <xdr:colOff>0</xdr:colOff>
          <xdr:row>25</xdr:row>
          <xdr:rowOff>0</xdr:rowOff>
        </xdr:to>
        <xdr:sp macro="" textlink="">
          <xdr:nvSpPr>
            <xdr:cNvPr id="21595" name="Check Box 91" hidden="1">
              <a:extLst>
                <a:ext uri="{63B3BB69-23CF-44E3-9099-C40C66FF867C}">
                  <a14:compatExt spid="_x0000_s21595"/>
                </a:ext>
                <a:ext uri="{FF2B5EF4-FFF2-40B4-BE49-F238E27FC236}">
                  <a16:creationId xmlns:a16="http://schemas.microsoft.com/office/drawing/2014/main" id="{00000000-0008-0000-0300-00005B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24</xdr:row>
          <xdr:rowOff>0</xdr:rowOff>
        </xdr:from>
        <xdr:to>
          <xdr:col>6</xdr:col>
          <xdr:colOff>0</xdr:colOff>
          <xdr:row>25</xdr:row>
          <xdr:rowOff>0</xdr:rowOff>
        </xdr:to>
        <xdr:sp macro="" textlink="">
          <xdr:nvSpPr>
            <xdr:cNvPr id="21596" name="Check Box 92" hidden="1">
              <a:extLst>
                <a:ext uri="{63B3BB69-23CF-44E3-9099-C40C66FF867C}">
                  <a14:compatExt spid="_x0000_s21596"/>
                </a:ext>
                <a:ext uri="{FF2B5EF4-FFF2-40B4-BE49-F238E27FC236}">
                  <a16:creationId xmlns:a16="http://schemas.microsoft.com/office/drawing/2014/main" id="{00000000-0008-0000-0300-00005C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20</xdr:row>
          <xdr:rowOff>9525</xdr:rowOff>
        </xdr:from>
        <xdr:to>
          <xdr:col>6</xdr:col>
          <xdr:colOff>0</xdr:colOff>
          <xdr:row>21</xdr:row>
          <xdr:rowOff>9525</xdr:rowOff>
        </xdr:to>
        <xdr:sp macro="" textlink="">
          <xdr:nvSpPr>
            <xdr:cNvPr id="21599" name="Check Box 95" hidden="1">
              <a:extLst>
                <a:ext uri="{63B3BB69-23CF-44E3-9099-C40C66FF867C}">
                  <a14:compatExt spid="_x0000_s21599"/>
                </a:ext>
                <a:ext uri="{FF2B5EF4-FFF2-40B4-BE49-F238E27FC236}">
                  <a16:creationId xmlns:a16="http://schemas.microsoft.com/office/drawing/2014/main" id="{00000000-0008-0000-0300-00005F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21</xdr:row>
          <xdr:rowOff>9525</xdr:rowOff>
        </xdr:from>
        <xdr:to>
          <xdr:col>6</xdr:col>
          <xdr:colOff>0</xdr:colOff>
          <xdr:row>22</xdr:row>
          <xdr:rowOff>9525</xdr:rowOff>
        </xdr:to>
        <xdr:sp macro="" textlink="">
          <xdr:nvSpPr>
            <xdr:cNvPr id="21600" name="Check Box 96" hidden="1">
              <a:extLst>
                <a:ext uri="{63B3BB69-23CF-44E3-9099-C40C66FF867C}">
                  <a14:compatExt spid="_x0000_s21600"/>
                </a:ext>
                <a:ext uri="{FF2B5EF4-FFF2-40B4-BE49-F238E27FC236}">
                  <a16:creationId xmlns:a16="http://schemas.microsoft.com/office/drawing/2014/main" id="{00000000-0008-0000-0300-000060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22</xdr:row>
          <xdr:rowOff>9525</xdr:rowOff>
        </xdr:from>
        <xdr:to>
          <xdr:col>6</xdr:col>
          <xdr:colOff>0</xdr:colOff>
          <xdr:row>23</xdr:row>
          <xdr:rowOff>9525</xdr:rowOff>
        </xdr:to>
        <xdr:sp macro="" textlink="">
          <xdr:nvSpPr>
            <xdr:cNvPr id="21601" name="Check Box 97" hidden="1">
              <a:extLst>
                <a:ext uri="{63B3BB69-23CF-44E3-9099-C40C66FF867C}">
                  <a14:compatExt spid="_x0000_s21601"/>
                </a:ext>
                <a:ext uri="{FF2B5EF4-FFF2-40B4-BE49-F238E27FC236}">
                  <a16:creationId xmlns:a16="http://schemas.microsoft.com/office/drawing/2014/main" id="{00000000-0008-0000-0300-000061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23</xdr:row>
          <xdr:rowOff>9525</xdr:rowOff>
        </xdr:from>
        <xdr:to>
          <xdr:col>6</xdr:col>
          <xdr:colOff>0</xdr:colOff>
          <xdr:row>24</xdr:row>
          <xdr:rowOff>9525</xdr:rowOff>
        </xdr:to>
        <xdr:sp macro="" textlink="">
          <xdr:nvSpPr>
            <xdr:cNvPr id="21602" name="Check Box 98" hidden="1">
              <a:extLst>
                <a:ext uri="{63B3BB69-23CF-44E3-9099-C40C66FF867C}">
                  <a14:compatExt spid="_x0000_s21602"/>
                </a:ext>
                <a:ext uri="{FF2B5EF4-FFF2-40B4-BE49-F238E27FC236}">
                  <a16:creationId xmlns:a16="http://schemas.microsoft.com/office/drawing/2014/main" id="{00000000-0008-0000-0300-000062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466725</xdr:colOff>
          <xdr:row>10</xdr:row>
          <xdr:rowOff>371475</xdr:rowOff>
        </xdr:from>
        <xdr:to>
          <xdr:col>6</xdr:col>
          <xdr:colOff>0</xdr:colOff>
          <xdr:row>11</xdr:row>
          <xdr:rowOff>371475</xdr:rowOff>
        </xdr:to>
        <xdr:sp macro="" textlink="">
          <xdr:nvSpPr>
            <xdr:cNvPr id="21603" name="Check Box 99" hidden="1">
              <a:extLst>
                <a:ext uri="{63B3BB69-23CF-44E3-9099-C40C66FF867C}">
                  <a14:compatExt spid="_x0000_s21603"/>
                </a:ext>
                <a:ext uri="{FF2B5EF4-FFF2-40B4-BE49-F238E27FC236}">
                  <a16:creationId xmlns:a16="http://schemas.microsoft.com/office/drawing/2014/main" id="{00000000-0008-0000-0300-000063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xdr:from>
      <xdr:col>2</xdr:col>
      <xdr:colOff>0</xdr:colOff>
      <xdr:row>27</xdr:row>
      <xdr:rowOff>0</xdr:rowOff>
    </xdr:from>
    <xdr:to>
      <xdr:col>6</xdr:col>
      <xdr:colOff>0</xdr:colOff>
      <xdr:row>38</xdr:row>
      <xdr:rowOff>79375</xdr:rowOff>
    </xdr:to>
    <xdr:graphicFrame macro="">
      <xdr:nvGraphicFramePr>
        <xdr:cNvPr id="4" name="Kaavi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10583</xdr:colOff>
      <xdr:row>27</xdr:row>
      <xdr:rowOff>0</xdr:rowOff>
    </xdr:from>
    <xdr:to>
      <xdr:col>10</xdr:col>
      <xdr:colOff>0</xdr:colOff>
      <xdr:row>50</xdr:row>
      <xdr:rowOff>10582</xdr:rowOff>
    </xdr:to>
    <xdr:graphicFrame macro="">
      <xdr:nvGraphicFramePr>
        <xdr:cNvPr id="5" name="Kaavio 4">
          <a:extLst>
            <a:ext uri="{FF2B5EF4-FFF2-40B4-BE49-F238E27FC236}">
              <a16:creationId xmlns:a16="http://schemas.microsoft.com/office/drawing/2014/main" id="{00000000-0008-0000-0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253999</xdr:colOff>
      <xdr:row>38</xdr:row>
      <xdr:rowOff>158750</xdr:rowOff>
    </xdr:from>
    <xdr:to>
      <xdr:col>6</xdr:col>
      <xdr:colOff>0</xdr:colOff>
      <xdr:row>50</xdr:row>
      <xdr:rowOff>18143</xdr:rowOff>
    </xdr:to>
    <xdr:graphicFrame macro="">
      <xdr:nvGraphicFramePr>
        <xdr:cNvPr id="6" name="Chart 6">
          <a:extLst>
            <a:ext uri="{FF2B5EF4-FFF2-40B4-BE49-F238E27FC236}">
              <a16:creationId xmlns:a16="http://schemas.microsoft.com/office/drawing/2014/main" id="{00000000-0008-0000-04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8</xdr:col>
      <xdr:colOff>187266</xdr:colOff>
      <xdr:row>2</xdr:row>
      <xdr:rowOff>60083</xdr:rowOff>
    </xdr:from>
    <xdr:to>
      <xdr:col>10</xdr:col>
      <xdr:colOff>190500</xdr:colOff>
      <xdr:row>5</xdr:row>
      <xdr:rowOff>197091</xdr:rowOff>
    </xdr:to>
    <xdr:pic>
      <xdr:nvPicPr>
        <xdr:cNvPr id="2" name="Kuva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9077266" y="568083"/>
          <a:ext cx="2416234" cy="8990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0</xdr:colOff>
      <xdr:row>23</xdr:row>
      <xdr:rowOff>304800</xdr:rowOff>
    </xdr:from>
    <xdr:to>
      <xdr:col>6</xdr:col>
      <xdr:colOff>12700</xdr:colOff>
      <xdr:row>24</xdr:row>
      <xdr:rowOff>0</xdr:rowOff>
    </xdr:to>
    <xdr:pic>
      <xdr:nvPicPr>
        <xdr:cNvPr id="20" name="Picture 19">
          <a:extLst>
            <a:ext uri="{FF2B5EF4-FFF2-40B4-BE49-F238E27FC236}">
              <a16:creationId xmlns:a16="http://schemas.microsoft.com/office/drawing/2014/main" id="{00000000-0008-0000-0600-00001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0375900" y="39674800"/>
          <a:ext cx="2743200" cy="2743200"/>
        </a:xfrm>
        <a:prstGeom prst="rect">
          <a:avLst/>
        </a:prstGeom>
      </xdr:spPr>
    </xdr:pic>
    <xdr:clientData/>
  </xdr:twoCellAnchor>
  <xdr:twoCellAnchor editAs="oneCell">
    <xdr:from>
      <xdr:col>3</xdr:col>
      <xdr:colOff>0</xdr:colOff>
      <xdr:row>17</xdr:row>
      <xdr:rowOff>304800</xdr:rowOff>
    </xdr:from>
    <xdr:to>
      <xdr:col>4</xdr:col>
      <xdr:colOff>15874</xdr:colOff>
      <xdr:row>18</xdr:row>
      <xdr:rowOff>0</xdr:rowOff>
    </xdr:to>
    <xdr:pic>
      <xdr:nvPicPr>
        <xdr:cNvPr id="17" name="Picture 16">
          <a:extLst>
            <a:ext uri="{FF2B5EF4-FFF2-40B4-BE49-F238E27FC236}">
              <a16:creationId xmlns:a16="http://schemas.microsoft.com/office/drawing/2014/main" id="{00000000-0008-0000-0600-000011000000}"/>
            </a:ext>
          </a:extLst>
        </xdr:cNvPr>
        <xdr:cNvPicPr>
          <a:picLocks/>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7264400" y="29768800"/>
          <a:ext cx="2746374" cy="2743200"/>
        </a:xfrm>
        <a:prstGeom prst="rect">
          <a:avLst/>
        </a:prstGeom>
      </xdr:spPr>
    </xdr:pic>
    <xdr:clientData/>
  </xdr:twoCellAnchor>
  <xdr:twoCellAnchor editAs="oneCell">
    <xdr:from>
      <xdr:col>5</xdr:col>
      <xdr:colOff>0</xdr:colOff>
      <xdr:row>13</xdr:row>
      <xdr:rowOff>305624</xdr:rowOff>
    </xdr:from>
    <xdr:to>
      <xdr:col>6</xdr:col>
      <xdr:colOff>12700</xdr:colOff>
      <xdr:row>14</xdr:row>
      <xdr:rowOff>0</xdr:rowOff>
    </xdr:to>
    <xdr:pic>
      <xdr:nvPicPr>
        <xdr:cNvPr id="9" name="Picture 8">
          <a:extLst>
            <a:ext uri="{FF2B5EF4-FFF2-40B4-BE49-F238E27FC236}">
              <a16:creationId xmlns:a16="http://schemas.microsoft.com/office/drawing/2014/main" id="{00000000-0008-0000-0600-000009000000}"/>
            </a:ext>
          </a:extLst>
        </xdr:cNvPr>
        <xdr:cNvPicPr>
          <a:picLocks/>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0375900" y="23165624"/>
          <a:ext cx="2743200" cy="2742376"/>
        </a:xfrm>
        <a:prstGeom prst="rect">
          <a:avLst/>
        </a:prstGeom>
      </xdr:spPr>
    </xdr:pic>
    <xdr:clientData/>
  </xdr:twoCellAnchor>
  <xdr:twoCellAnchor editAs="oneCell">
    <xdr:from>
      <xdr:col>3</xdr:col>
      <xdr:colOff>0</xdr:colOff>
      <xdr:row>11</xdr:row>
      <xdr:rowOff>685800</xdr:rowOff>
    </xdr:from>
    <xdr:to>
      <xdr:col>4</xdr:col>
      <xdr:colOff>12700</xdr:colOff>
      <xdr:row>12</xdr:row>
      <xdr:rowOff>0</xdr:rowOff>
    </xdr:to>
    <xdr:pic>
      <xdr:nvPicPr>
        <xdr:cNvPr id="7" name="Picture 6">
          <a:extLst>
            <a:ext uri="{FF2B5EF4-FFF2-40B4-BE49-F238E27FC236}">
              <a16:creationId xmlns:a16="http://schemas.microsoft.com/office/drawing/2014/main" id="{00000000-0008-0000-0600-000007000000}"/>
            </a:ext>
          </a:extLst>
        </xdr:cNvPr>
        <xdr:cNvPicPr>
          <a:picLocks/>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7708900" y="19862800"/>
          <a:ext cx="2743200" cy="2743200"/>
        </a:xfrm>
        <a:prstGeom prst="rect">
          <a:avLst/>
        </a:prstGeom>
      </xdr:spPr>
    </xdr:pic>
    <xdr:clientData/>
  </xdr:twoCellAnchor>
  <mc:AlternateContent xmlns:mc="http://schemas.openxmlformats.org/markup-compatibility/2006">
    <mc:Choice xmlns:a14="http://schemas.microsoft.com/office/drawing/2010/main" Requires="a14">
      <xdr:twoCellAnchor>
        <xdr:from>
          <xdr:col>0</xdr:col>
          <xdr:colOff>9525</xdr:colOff>
          <xdr:row>6</xdr:row>
          <xdr:rowOff>0</xdr:rowOff>
        </xdr:from>
        <xdr:to>
          <xdr:col>1</xdr:col>
          <xdr:colOff>9525</xdr:colOff>
          <xdr:row>6</xdr:row>
          <xdr:rowOff>0</xdr:rowOff>
        </xdr:to>
        <xdr:sp macro="" textlink="">
          <xdr:nvSpPr>
            <xdr:cNvPr id="16387" name="Button 3" hidden="1">
              <a:extLst>
                <a:ext uri="{63B3BB69-23CF-44E3-9099-C40C66FF867C}">
                  <a14:compatExt spid="_x0000_s16387"/>
                </a:ext>
                <a:ext uri="{FF2B5EF4-FFF2-40B4-BE49-F238E27FC236}">
                  <a16:creationId xmlns:a16="http://schemas.microsoft.com/office/drawing/2014/main" id="{00000000-0008-0000-0600-00000340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fi-FI" sz="1100" b="0" i="0" u="none" strike="noStrike" baseline="0">
                  <a:solidFill>
                    <a:srgbClr val="000000"/>
                  </a:solidFill>
                  <a:latin typeface="Calibri"/>
                  <a:cs typeface="Calibri"/>
                </a:rPr>
                <a:t>Mack</a:t>
              </a:r>
            </a:p>
          </xdr:txBody>
        </xdr:sp>
        <xdr:clientData fPrintsWithSheet="0"/>
      </xdr:twoCellAnchor>
    </mc:Choice>
    <mc:Fallback/>
  </mc:AlternateContent>
  <xdr:twoCellAnchor editAs="oneCell">
    <xdr:from>
      <xdr:col>5</xdr:col>
      <xdr:colOff>0</xdr:colOff>
      <xdr:row>9</xdr:row>
      <xdr:rowOff>586443</xdr:rowOff>
    </xdr:from>
    <xdr:to>
      <xdr:col>6</xdr:col>
      <xdr:colOff>12700</xdr:colOff>
      <xdr:row>9</xdr:row>
      <xdr:rowOff>3327400</xdr:rowOff>
    </xdr:to>
    <xdr:pic>
      <xdr:nvPicPr>
        <xdr:cNvPr id="39" name="Picture 38">
          <a:extLst>
            <a:ext uri="{FF2B5EF4-FFF2-40B4-BE49-F238E27FC236}">
              <a16:creationId xmlns:a16="http://schemas.microsoft.com/office/drawing/2014/main" id="{00000000-0008-0000-0600-000027000000}"/>
            </a:ext>
          </a:extLst>
        </xdr:cNvPr>
        <xdr:cNvPicPr>
          <a:picLocks/>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10883900" y="16080443"/>
          <a:ext cx="2743200" cy="2740957"/>
        </a:xfrm>
        <a:prstGeom prst="ellipse">
          <a:avLst/>
        </a:prstGeom>
      </xdr:spPr>
    </xdr:pic>
    <xdr:clientData/>
  </xdr:twoCellAnchor>
  <xdr:twoCellAnchor editAs="oneCell">
    <xdr:from>
      <xdr:col>7</xdr:col>
      <xdr:colOff>0</xdr:colOff>
      <xdr:row>11</xdr:row>
      <xdr:rowOff>685800</xdr:rowOff>
    </xdr:from>
    <xdr:to>
      <xdr:col>8</xdr:col>
      <xdr:colOff>12700</xdr:colOff>
      <xdr:row>12</xdr:row>
      <xdr:rowOff>0</xdr:rowOff>
    </xdr:to>
    <xdr:pic>
      <xdr:nvPicPr>
        <xdr:cNvPr id="42" name="Picture 41">
          <a:extLst>
            <a:ext uri="{FF2B5EF4-FFF2-40B4-BE49-F238E27FC236}">
              <a16:creationId xmlns:a16="http://schemas.microsoft.com/office/drawing/2014/main" id="{00000000-0008-0000-0600-00002A000000}"/>
            </a:ext>
          </a:extLst>
        </xdr:cNvPr>
        <xdr:cNvPicPr>
          <a:picLocks/>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14058900" y="19862800"/>
          <a:ext cx="2743200" cy="2743200"/>
        </a:xfrm>
        <a:prstGeom prst="ellipse">
          <a:avLst/>
        </a:prstGeom>
      </xdr:spPr>
    </xdr:pic>
    <xdr:clientData/>
  </xdr:twoCellAnchor>
  <xdr:twoCellAnchor editAs="oneCell">
    <xdr:from>
      <xdr:col>5</xdr:col>
      <xdr:colOff>0</xdr:colOff>
      <xdr:row>27</xdr:row>
      <xdr:rowOff>290092</xdr:rowOff>
    </xdr:from>
    <xdr:to>
      <xdr:col>6</xdr:col>
      <xdr:colOff>11126</xdr:colOff>
      <xdr:row>28</xdr:row>
      <xdr:rowOff>0</xdr:rowOff>
    </xdr:to>
    <xdr:pic>
      <xdr:nvPicPr>
        <xdr:cNvPr id="45" name="Picture 44">
          <a:extLst>
            <a:ext uri="{FF2B5EF4-FFF2-40B4-BE49-F238E27FC236}">
              <a16:creationId xmlns:a16="http://schemas.microsoft.com/office/drawing/2014/main" id="{00000000-0008-0000-0600-00002D000000}"/>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10375900" y="46264092"/>
          <a:ext cx="2741626" cy="2757908"/>
        </a:xfrm>
        <a:prstGeom prst="ellipse">
          <a:avLst/>
        </a:prstGeom>
      </xdr:spPr>
    </xdr:pic>
    <xdr:clientData/>
  </xdr:twoCellAnchor>
  <xdr:twoCellAnchor editAs="oneCell">
    <xdr:from>
      <xdr:col>3</xdr:col>
      <xdr:colOff>0</xdr:colOff>
      <xdr:row>21</xdr:row>
      <xdr:rowOff>304800</xdr:rowOff>
    </xdr:from>
    <xdr:to>
      <xdr:col>4</xdr:col>
      <xdr:colOff>13840</xdr:colOff>
      <xdr:row>22</xdr:row>
      <xdr:rowOff>0</xdr:rowOff>
    </xdr:to>
    <xdr:pic>
      <xdr:nvPicPr>
        <xdr:cNvPr id="49" name="Picture 48">
          <a:extLst>
            <a:ext uri="{FF2B5EF4-FFF2-40B4-BE49-F238E27FC236}">
              <a16:creationId xmlns:a16="http://schemas.microsoft.com/office/drawing/2014/main" id="{00000000-0008-0000-0600-000031000000}"/>
            </a:ext>
          </a:extLst>
        </xdr:cNvPr>
        <xdr:cNvPicPr>
          <a:picLocks/>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t="649" b="706"/>
        <a:stretch/>
      </xdr:blipFill>
      <xdr:spPr>
        <a:xfrm>
          <a:off x="7264400" y="36372800"/>
          <a:ext cx="2744340" cy="2743200"/>
        </a:xfrm>
        <a:prstGeom prst="ellipse">
          <a:avLst/>
        </a:prstGeom>
      </xdr:spPr>
    </xdr:pic>
    <xdr:clientData/>
  </xdr:twoCellAnchor>
  <xdr:twoCellAnchor editAs="oneCell">
    <xdr:from>
      <xdr:col>3</xdr:col>
      <xdr:colOff>0</xdr:colOff>
      <xdr:row>23</xdr:row>
      <xdr:rowOff>304800</xdr:rowOff>
    </xdr:from>
    <xdr:to>
      <xdr:col>4</xdr:col>
      <xdr:colOff>12700</xdr:colOff>
      <xdr:row>24</xdr:row>
      <xdr:rowOff>0</xdr:rowOff>
    </xdr:to>
    <xdr:pic>
      <xdr:nvPicPr>
        <xdr:cNvPr id="51" name="Picture 50">
          <a:extLst>
            <a:ext uri="{FF2B5EF4-FFF2-40B4-BE49-F238E27FC236}">
              <a16:creationId xmlns:a16="http://schemas.microsoft.com/office/drawing/2014/main" id="{00000000-0008-0000-0600-000033000000}"/>
            </a:ext>
          </a:extLst>
        </xdr:cNvPr>
        <xdr:cNvPicPr>
          <a:picLocks/>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7264400" y="39674800"/>
          <a:ext cx="2743200" cy="2743200"/>
        </a:xfrm>
        <a:prstGeom prst="ellipse">
          <a:avLst/>
        </a:prstGeom>
      </xdr:spPr>
    </xdr:pic>
    <xdr:clientData/>
  </xdr:twoCellAnchor>
  <xdr:twoCellAnchor editAs="oneCell">
    <xdr:from>
      <xdr:col>3</xdr:col>
      <xdr:colOff>0</xdr:colOff>
      <xdr:row>15</xdr:row>
      <xdr:rowOff>304800</xdr:rowOff>
    </xdr:from>
    <xdr:to>
      <xdr:col>4</xdr:col>
      <xdr:colOff>13632</xdr:colOff>
      <xdr:row>16</xdr:row>
      <xdr:rowOff>0</xdr:rowOff>
    </xdr:to>
    <xdr:pic>
      <xdr:nvPicPr>
        <xdr:cNvPr id="52" name="Picture 51">
          <a:extLst>
            <a:ext uri="{FF2B5EF4-FFF2-40B4-BE49-F238E27FC236}">
              <a16:creationId xmlns:a16="http://schemas.microsoft.com/office/drawing/2014/main" id="{00000000-0008-0000-0600-000034000000}"/>
            </a:ext>
          </a:extLst>
        </xdr:cNvPr>
        <xdr:cNvPicPr>
          <a:picLocks/>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7264400" y="26466800"/>
          <a:ext cx="2744132" cy="2743200"/>
        </a:xfrm>
        <a:prstGeom prst="ellipse">
          <a:avLst/>
        </a:prstGeom>
      </xdr:spPr>
    </xdr:pic>
    <xdr:clientData/>
  </xdr:twoCellAnchor>
  <mc:AlternateContent xmlns:mc="http://schemas.openxmlformats.org/markup-compatibility/2006">
    <mc:Choice xmlns:a14="http://schemas.microsoft.com/office/drawing/2010/main" Requires="a14">
      <xdr:twoCellAnchor>
        <xdr:from>
          <xdr:col>0</xdr:col>
          <xdr:colOff>0</xdr:colOff>
          <xdr:row>20</xdr:row>
          <xdr:rowOff>0</xdr:rowOff>
        </xdr:from>
        <xdr:to>
          <xdr:col>1</xdr:col>
          <xdr:colOff>9525</xdr:colOff>
          <xdr:row>20</xdr:row>
          <xdr:rowOff>0</xdr:rowOff>
        </xdr:to>
        <xdr:sp macro="" textlink="">
          <xdr:nvSpPr>
            <xdr:cNvPr id="16476" name="Button 92" hidden="1">
              <a:extLst>
                <a:ext uri="{63B3BB69-23CF-44E3-9099-C40C66FF867C}">
                  <a14:compatExt spid="_x0000_s16476"/>
                </a:ext>
                <a:ext uri="{FF2B5EF4-FFF2-40B4-BE49-F238E27FC236}">
                  <a16:creationId xmlns:a16="http://schemas.microsoft.com/office/drawing/2014/main" id="{00000000-0008-0000-0600-00005C40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fi-FI" sz="1100" b="0" i="0" u="none" strike="noStrike" baseline="0">
                  <a:solidFill>
                    <a:srgbClr val="000000"/>
                  </a:solidFill>
                  <a:latin typeface="Calibri"/>
                  <a:cs typeface="Calibri"/>
                </a:rPr>
                <a:t>Föregående: Anvisningar</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0</xdr:col>
          <xdr:colOff>0</xdr:colOff>
          <xdr:row>20</xdr:row>
          <xdr:rowOff>0</xdr:rowOff>
        </xdr:from>
        <xdr:to>
          <xdr:col>1</xdr:col>
          <xdr:colOff>0</xdr:colOff>
          <xdr:row>20</xdr:row>
          <xdr:rowOff>0</xdr:rowOff>
        </xdr:to>
        <xdr:sp macro="" textlink="">
          <xdr:nvSpPr>
            <xdr:cNvPr id="16477" name="Button 93" hidden="1">
              <a:extLst>
                <a:ext uri="{63B3BB69-23CF-44E3-9099-C40C66FF867C}">
                  <a14:compatExt spid="_x0000_s16477"/>
                </a:ext>
                <a:ext uri="{FF2B5EF4-FFF2-40B4-BE49-F238E27FC236}">
                  <a16:creationId xmlns:a16="http://schemas.microsoft.com/office/drawing/2014/main" id="{00000000-0008-0000-0600-00005D40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fi-FI" sz="1100" b="0" i="0" u="none" strike="noStrike" baseline="0">
                  <a:solidFill>
                    <a:srgbClr val="000000"/>
                  </a:solidFill>
                  <a:latin typeface="Calibri"/>
                  <a:cs typeface="Calibri"/>
                </a:rPr>
                <a:t>Föregående:</a:t>
              </a:r>
            </a:p>
            <a:p>
              <a:pPr algn="ctr" rtl="0">
                <a:defRPr sz="1000"/>
              </a:pPr>
              <a:r>
                <a:rPr lang="fi-FI" sz="1100" b="0" i="0" u="none" strike="noStrike" baseline="0">
                  <a:solidFill>
                    <a:srgbClr val="000000"/>
                  </a:solidFill>
                  <a:latin typeface="Calibri"/>
                  <a:cs typeface="Calibri"/>
                </a:rPr>
                <a:t>Grönkoefficient</a:t>
              </a:r>
            </a:p>
          </xdr:txBody>
        </xdr:sp>
        <xdr:clientData fPrintsWithSheet="0"/>
      </xdr:twoCellAnchor>
    </mc:Choice>
    <mc:Fallback/>
  </mc:AlternateContent>
  <xdr:twoCellAnchor editAs="oneCell">
    <xdr:from>
      <xdr:col>3</xdr:col>
      <xdr:colOff>0</xdr:colOff>
      <xdr:row>27</xdr:row>
      <xdr:rowOff>275167</xdr:rowOff>
    </xdr:from>
    <xdr:to>
      <xdr:col>4</xdr:col>
      <xdr:colOff>42333</xdr:colOff>
      <xdr:row>28</xdr:row>
      <xdr:rowOff>0</xdr:rowOff>
    </xdr:to>
    <xdr:pic>
      <xdr:nvPicPr>
        <xdr:cNvPr id="6" name="Picture 5">
          <a:extLst>
            <a:ext uri="{FF2B5EF4-FFF2-40B4-BE49-F238E27FC236}">
              <a16:creationId xmlns:a16="http://schemas.microsoft.com/office/drawing/2014/main" id="{00000000-0008-0000-0600-000006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7264400" y="46249167"/>
          <a:ext cx="2772833" cy="2772833"/>
        </a:xfrm>
        <a:prstGeom prst="rect">
          <a:avLst/>
        </a:prstGeom>
      </xdr:spPr>
    </xdr:pic>
    <xdr:clientData/>
  </xdr:twoCellAnchor>
  <xdr:twoCellAnchor editAs="oneCell">
    <xdr:from>
      <xdr:col>5</xdr:col>
      <xdr:colOff>0</xdr:colOff>
      <xdr:row>17</xdr:row>
      <xdr:rowOff>304800</xdr:rowOff>
    </xdr:from>
    <xdr:to>
      <xdr:col>6</xdr:col>
      <xdr:colOff>16024</xdr:colOff>
      <xdr:row>18</xdr:row>
      <xdr:rowOff>0</xdr:rowOff>
    </xdr:to>
    <xdr:pic>
      <xdr:nvPicPr>
        <xdr:cNvPr id="10" name="Picture 9">
          <a:extLst>
            <a:ext uri="{FF2B5EF4-FFF2-40B4-BE49-F238E27FC236}">
              <a16:creationId xmlns:a16="http://schemas.microsoft.com/office/drawing/2014/main" id="{00000000-0008-0000-0600-00000A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0375900" y="29768800"/>
          <a:ext cx="2746524" cy="2743200"/>
        </a:xfrm>
        <a:prstGeom prst="rect">
          <a:avLst/>
        </a:prstGeom>
      </xdr:spPr>
    </xdr:pic>
    <xdr:clientData/>
  </xdr:twoCellAnchor>
  <xdr:twoCellAnchor editAs="oneCell">
    <xdr:from>
      <xdr:col>3</xdr:col>
      <xdr:colOff>0</xdr:colOff>
      <xdr:row>19</xdr:row>
      <xdr:rowOff>304799</xdr:rowOff>
    </xdr:from>
    <xdr:to>
      <xdr:col>4</xdr:col>
      <xdr:colOff>15876</xdr:colOff>
      <xdr:row>20</xdr:row>
      <xdr:rowOff>0</xdr:rowOff>
    </xdr:to>
    <xdr:pic>
      <xdr:nvPicPr>
        <xdr:cNvPr id="14" name="Picture 13">
          <a:extLst>
            <a:ext uri="{FF2B5EF4-FFF2-40B4-BE49-F238E27FC236}">
              <a16:creationId xmlns:a16="http://schemas.microsoft.com/office/drawing/2014/main" id="{00000000-0008-0000-0600-00000E00000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7264400" y="33070799"/>
          <a:ext cx="2746376" cy="2743201"/>
        </a:xfrm>
        <a:prstGeom prst="rect">
          <a:avLst/>
        </a:prstGeom>
      </xdr:spPr>
    </xdr:pic>
    <xdr:clientData/>
  </xdr:twoCellAnchor>
  <xdr:twoCellAnchor editAs="oneCell">
    <xdr:from>
      <xdr:col>3</xdr:col>
      <xdr:colOff>0</xdr:colOff>
      <xdr:row>9</xdr:row>
      <xdr:rowOff>584200</xdr:rowOff>
    </xdr:from>
    <xdr:to>
      <xdr:col>4</xdr:col>
      <xdr:colOff>12700</xdr:colOff>
      <xdr:row>9</xdr:row>
      <xdr:rowOff>3327400</xdr:rowOff>
    </xdr:to>
    <xdr:pic>
      <xdr:nvPicPr>
        <xdr:cNvPr id="21" name="Picture 20">
          <a:extLst>
            <a:ext uri="{FF2B5EF4-FFF2-40B4-BE49-F238E27FC236}">
              <a16:creationId xmlns:a16="http://schemas.microsoft.com/office/drawing/2014/main" id="{00000000-0008-0000-0600-000015000000}"/>
            </a:ext>
          </a:extLst>
        </xdr:cNvPr>
        <xdr:cNvPicPr>
          <a:picLocks/>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7708900" y="16078200"/>
          <a:ext cx="2743200" cy="2743200"/>
        </a:xfrm>
        <a:prstGeom prst="rect">
          <a:avLst/>
        </a:prstGeom>
      </xdr:spPr>
    </xdr:pic>
    <xdr:clientData/>
  </xdr:twoCellAnchor>
  <xdr:twoCellAnchor editAs="oneCell">
    <xdr:from>
      <xdr:col>7</xdr:col>
      <xdr:colOff>0</xdr:colOff>
      <xdr:row>13</xdr:row>
      <xdr:rowOff>304800</xdr:rowOff>
    </xdr:from>
    <xdr:to>
      <xdr:col>8</xdr:col>
      <xdr:colOff>12700</xdr:colOff>
      <xdr:row>14</xdr:row>
      <xdr:rowOff>0</xdr:rowOff>
    </xdr:to>
    <xdr:pic>
      <xdr:nvPicPr>
        <xdr:cNvPr id="13" name="Picture 12">
          <a:extLst>
            <a:ext uri="{FF2B5EF4-FFF2-40B4-BE49-F238E27FC236}">
              <a16:creationId xmlns:a16="http://schemas.microsoft.com/office/drawing/2014/main" id="{00000000-0008-0000-0600-00000D000000}"/>
            </a:ext>
          </a:extLst>
        </xdr:cNvPr>
        <xdr:cNvPicPr>
          <a:picLocks/>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14058900" y="23164800"/>
          <a:ext cx="2743200" cy="2743200"/>
        </a:xfrm>
        <a:prstGeom prst="rect">
          <a:avLst/>
        </a:prstGeom>
      </xdr:spPr>
    </xdr:pic>
    <xdr:clientData/>
  </xdr:twoCellAnchor>
  <xdr:twoCellAnchor editAs="oneCell">
    <xdr:from>
      <xdr:col>3</xdr:col>
      <xdr:colOff>0</xdr:colOff>
      <xdr:row>5</xdr:row>
      <xdr:rowOff>304800</xdr:rowOff>
    </xdr:from>
    <xdr:to>
      <xdr:col>4</xdr:col>
      <xdr:colOff>12700</xdr:colOff>
      <xdr:row>6</xdr:row>
      <xdr:rowOff>0</xdr:rowOff>
    </xdr:to>
    <xdr:pic>
      <xdr:nvPicPr>
        <xdr:cNvPr id="22" name="Picture 21">
          <a:extLst>
            <a:ext uri="{FF2B5EF4-FFF2-40B4-BE49-F238E27FC236}">
              <a16:creationId xmlns:a16="http://schemas.microsoft.com/office/drawing/2014/main" id="{00000000-0008-0000-0600-0000160000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7264400" y="9194800"/>
          <a:ext cx="2743200" cy="2743200"/>
        </a:xfrm>
        <a:prstGeom prst="rect">
          <a:avLst/>
        </a:prstGeom>
      </xdr:spPr>
    </xdr:pic>
    <xdr:clientData/>
  </xdr:twoCellAnchor>
  <xdr:twoCellAnchor editAs="oneCell">
    <xdr:from>
      <xdr:col>5</xdr:col>
      <xdr:colOff>0</xdr:colOff>
      <xdr:row>5</xdr:row>
      <xdr:rowOff>304800</xdr:rowOff>
    </xdr:from>
    <xdr:to>
      <xdr:col>6</xdr:col>
      <xdr:colOff>12700</xdr:colOff>
      <xdr:row>6</xdr:row>
      <xdr:rowOff>0</xdr:rowOff>
    </xdr:to>
    <xdr:pic>
      <xdr:nvPicPr>
        <xdr:cNvPr id="24" name="Picture 23">
          <a:extLst>
            <a:ext uri="{FF2B5EF4-FFF2-40B4-BE49-F238E27FC236}">
              <a16:creationId xmlns:a16="http://schemas.microsoft.com/office/drawing/2014/main" id="{00000000-0008-0000-0600-000018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0375900" y="9194800"/>
          <a:ext cx="2743200" cy="2743200"/>
        </a:xfrm>
        <a:prstGeom prst="rect">
          <a:avLst/>
        </a:prstGeom>
      </xdr:spPr>
    </xdr:pic>
    <xdr:clientData/>
  </xdr:twoCellAnchor>
  <xdr:twoCellAnchor editAs="oneCell">
    <xdr:from>
      <xdr:col>5</xdr:col>
      <xdr:colOff>0</xdr:colOff>
      <xdr:row>11</xdr:row>
      <xdr:rowOff>685800</xdr:rowOff>
    </xdr:from>
    <xdr:to>
      <xdr:col>6</xdr:col>
      <xdr:colOff>12700</xdr:colOff>
      <xdr:row>12</xdr:row>
      <xdr:rowOff>0</xdr:rowOff>
    </xdr:to>
    <xdr:pic>
      <xdr:nvPicPr>
        <xdr:cNvPr id="2" name="Picture 43">
          <a:extLst>
            <a:ext uri="{FF2B5EF4-FFF2-40B4-BE49-F238E27FC236}">
              <a16:creationId xmlns:a16="http://schemas.microsoft.com/office/drawing/2014/main" id="{00000000-0008-0000-0600-000002000000}"/>
            </a:ext>
          </a:extLst>
        </xdr:cNvPr>
        <xdr:cNvPicPr>
          <a:picLocks/>
        </xdr:cNvPicPr>
      </xdr:nvPicPr>
      <xdr:blipFill rotWithShape="1">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10883900" y="19862800"/>
          <a:ext cx="2743200" cy="2743200"/>
        </a:xfrm>
        <a:prstGeom prst="ellipse">
          <a:avLst/>
        </a:prstGeom>
      </xdr:spPr>
    </xdr:pic>
    <xdr:clientData/>
  </xdr:twoCellAnchor>
  <xdr:twoCellAnchor editAs="oneCell">
    <xdr:from>
      <xdr:col>3</xdr:col>
      <xdr:colOff>0</xdr:colOff>
      <xdr:row>13</xdr:row>
      <xdr:rowOff>304800</xdr:rowOff>
    </xdr:from>
    <xdr:to>
      <xdr:col>4</xdr:col>
      <xdr:colOff>12700</xdr:colOff>
      <xdr:row>14</xdr:row>
      <xdr:rowOff>0</xdr:rowOff>
    </xdr:to>
    <xdr:pic>
      <xdr:nvPicPr>
        <xdr:cNvPr id="5" name="Picture 4">
          <a:extLst>
            <a:ext uri="{FF2B5EF4-FFF2-40B4-BE49-F238E27FC236}">
              <a16:creationId xmlns:a16="http://schemas.microsoft.com/office/drawing/2014/main" id="{00000000-0008-0000-0600-000005000000}"/>
            </a:ext>
          </a:extLst>
        </xdr:cNvPr>
        <xdr:cNvPicPr>
          <a:picLocks/>
        </xdr:cNvPicPr>
      </xdr:nvPicPr>
      <xdr:blipFill rotWithShape="1">
        <a:blip xmlns:r="http://schemas.openxmlformats.org/officeDocument/2006/relationships" r:embed="rId19"/>
        <a:srcRect l="13452" t="3826" r="13452" b="3826"/>
        <a:stretch/>
      </xdr:blipFill>
      <xdr:spPr>
        <a:xfrm>
          <a:off x="7264400" y="23164800"/>
          <a:ext cx="2743200" cy="2743200"/>
        </a:xfrm>
        <a:prstGeom prst="ellipse">
          <a:avLst/>
        </a:prstGeom>
        <a:ln w="63500" cap="rnd">
          <a:noFill/>
        </a:ln>
        <a:effectLst/>
      </xdr:spPr>
    </xdr:pic>
    <xdr:clientData/>
  </xdr:twoCellAnchor>
  <xdr:twoCellAnchor editAs="oneCell">
    <xdr:from>
      <xdr:col>3</xdr:col>
      <xdr:colOff>0</xdr:colOff>
      <xdr:row>7</xdr:row>
      <xdr:rowOff>304800</xdr:rowOff>
    </xdr:from>
    <xdr:to>
      <xdr:col>4</xdr:col>
      <xdr:colOff>12700</xdr:colOff>
      <xdr:row>8</xdr:row>
      <xdr:rowOff>0</xdr:rowOff>
    </xdr:to>
    <xdr:pic>
      <xdr:nvPicPr>
        <xdr:cNvPr id="16" name="Picture 15">
          <a:extLst>
            <a:ext uri="{FF2B5EF4-FFF2-40B4-BE49-F238E27FC236}">
              <a16:creationId xmlns:a16="http://schemas.microsoft.com/office/drawing/2014/main" id="{00000000-0008-0000-0600-000010000000}"/>
            </a:ext>
          </a:extLst>
        </xdr:cNvPr>
        <xdr:cNvPicPr>
          <a:picLocks/>
        </xdr:cNvPicPr>
      </xdr:nvPicPr>
      <xdr:blipFill rotWithShape="1">
        <a:blip xmlns:r="http://schemas.openxmlformats.org/officeDocument/2006/relationships" r:embed="rId20"/>
        <a:srcRect/>
        <a:stretch/>
      </xdr:blipFill>
      <xdr:spPr>
        <a:xfrm>
          <a:off x="7264400" y="12496800"/>
          <a:ext cx="2743200" cy="2743200"/>
        </a:xfrm>
        <a:prstGeom prst="ellipse">
          <a:avLst/>
        </a:prstGeom>
        <a:ln w="63500" cap="rnd">
          <a:noFill/>
        </a:ln>
        <a:effectLst/>
      </xdr:spPr>
    </xdr:pic>
    <xdr:clientData/>
  </xdr:twoCellAnchor>
  <xdr:twoCellAnchor editAs="oneCell">
    <xdr:from>
      <xdr:col>5</xdr:col>
      <xdr:colOff>0</xdr:colOff>
      <xdr:row>7</xdr:row>
      <xdr:rowOff>304800</xdr:rowOff>
    </xdr:from>
    <xdr:to>
      <xdr:col>6</xdr:col>
      <xdr:colOff>16463</xdr:colOff>
      <xdr:row>8</xdr:row>
      <xdr:rowOff>0</xdr:rowOff>
    </xdr:to>
    <xdr:pic>
      <xdr:nvPicPr>
        <xdr:cNvPr id="23" name="Picture 22">
          <a:extLst>
            <a:ext uri="{FF2B5EF4-FFF2-40B4-BE49-F238E27FC236}">
              <a16:creationId xmlns:a16="http://schemas.microsoft.com/office/drawing/2014/main" id="{00000000-0008-0000-0600-000017000000}"/>
            </a:ext>
          </a:extLst>
        </xdr:cNvPr>
        <xdr:cNvPicPr>
          <a:picLocks/>
        </xdr:cNvPicPr>
      </xdr:nvPicPr>
      <xdr:blipFill rotWithShape="1">
        <a:blip xmlns:r="http://schemas.openxmlformats.org/officeDocument/2006/relationships" r:embed="rId21"/>
        <a:srcRect l="10150" t="4212" r="10150" b="4212"/>
        <a:stretch/>
      </xdr:blipFill>
      <xdr:spPr>
        <a:xfrm>
          <a:off x="10375900" y="12496800"/>
          <a:ext cx="2746963" cy="2743200"/>
        </a:xfrm>
        <a:prstGeom prst="ellipse">
          <a:avLst/>
        </a:prstGeom>
        <a:ln w="63500" cap="rnd">
          <a:noFill/>
        </a:ln>
        <a:effectLst/>
      </xdr:spPr>
    </xdr:pic>
    <xdr:clientData/>
  </xdr:twoCellAnchor>
  <xdr:twoCellAnchor editAs="oneCell">
    <xdr:from>
      <xdr:col>3</xdr:col>
      <xdr:colOff>0</xdr:colOff>
      <xdr:row>3</xdr:row>
      <xdr:rowOff>444500</xdr:rowOff>
    </xdr:from>
    <xdr:to>
      <xdr:col>4</xdr:col>
      <xdr:colOff>12700</xdr:colOff>
      <xdr:row>3</xdr:row>
      <xdr:rowOff>3187700</xdr:rowOff>
    </xdr:to>
    <xdr:pic>
      <xdr:nvPicPr>
        <xdr:cNvPr id="12" name="Picture 21">
          <a:extLst>
            <a:ext uri="{FF2B5EF4-FFF2-40B4-BE49-F238E27FC236}">
              <a16:creationId xmlns:a16="http://schemas.microsoft.com/office/drawing/2014/main" id="{00000000-0008-0000-0600-00000C00000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7708900" y="4508500"/>
          <a:ext cx="2743200" cy="2743200"/>
        </a:xfrm>
        <a:prstGeom prst="rect">
          <a:avLst/>
        </a:prstGeom>
      </xdr:spPr>
    </xdr:pic>
    <xdr:clientData/>
  </xdr:twoCellAnchor>
  <xdr:twoCellAnchor editAs="oneCell">
    <xdr:from>
      <xdr:col>5</xdr:col>
      <xdr:colOff>0</xdr:colOff>
      <xdr:row>3</xdr:row>
      <xdr:rowOff>444500</xdr:rowOff>
    </xdr:from>
    <xdr:to>
      <xdr:col>6</xdr:col>
      <xdr:colOff>12700</xdr:colOff>
      <xdr:row>3</xdr:row>
      <xdr:rowOff>3187700</xdr:rowOff>
    </xdr:to>
    <xdr:pic>
      <xdr:nvPicPr>
        <xdr:cNvPr id="18" name="Picture 21">
          <a:extLst>
            <a:ext uri="{FF2B5EF4-FFF2-40B4-BE49-F238E27FC236}">
              <a16:creationId xmlns:a16="http://schemas.microsoft.com/office/drawing/2014/main" id="{00000000-0008-0000-0600-000012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10883900" y="4508500"/>
          <a:ext cx="2743200" cy="274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3</xdr:col>
      <xdr:colOff>76200</xdr:colOff>
      <xdr:row>11</xdr:row>
      <xdr:rowOff>2997200</xdr:rowOff>
    </xdr:from>
    <xdr:to>
      <xdr:col>3</xdr:col>
      <xdr:colOff>4215384</xdr:colOff>
      <xdr:row>13</xdr:row>
      <xdr:rowOff>19304</xdr:rowOff>
    </xdr:to>
    <xdr:pic>
      <xdr:nvPicPr>
        <xdr:cNvPr id="3" name="Kuva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stretch>
          <a:fillRect/>
        </a:stretch>
      </xdr:blipFill>
      <xdr:spPr>
        <a:xfrm>
          <a:off x="6553200" y="14236700"/>
          <a:ext cx="4139184" cy="3499104"/>
        </a:xfrm>
        <a:prstGeom prst="rect">
          <a:avLst/>
        </a:prstGeom>
      </xdr:spPr>
    </xdr:pic>
    <xdr:clientData/>
  </xdr:twoCellAnchor>
</xdr:wsDr>
</file>

<file path=xl/theme/theme1.xml><?xml version="1.0" encoding="utf-8"?>
<a:theme xmlns:a="http://schemas.openxmlformats.org/drawingml/2006/main" name="Office-teema">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4.xml"/><Relationship Id="rId3" Type="http://schemas.openxmlformats.org/officeDocument/2006/relationships/drawing" Target="../drawings/drawing2.xml"/><Relationship Id="rId7" Type="http://schemas.openxmlformats.org/officeDocument/2006/relationships/ctrlProp" Target="../ctrlProps/ctrlProp3.xml"/><Relationship Id="rId12" Type="http://schemas.openxmlformats.org/officeDocument/2006/relationships/ctrlProp" Target="../ctrlProps/ctrlProp8.xml"/><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 Id="rId6" Type="http://schemas.openxmlformats.org/officeDocument/2006/relationships/ctrlProp" Target="../ctrlProps/ctrlProp2.xml"/><Relationship Id="rId11" Type="http://schemas.openxmlformats.org/officeDocument/2006/relationships/ctrlProp" Target="../ctrlProps/ctrlProp7.xml"/><Relationship Id="rId5" Type="http://schemas.openxmlformats.org/officeDocument/2006/relationships/ctrlProp" Target="../ctrlProps/ctrlProp1.xml"/><Relationship Id="rId10" Type="http://schemas.openxmlformats.org/officeDocument/2006/relationships/ctrlProp" Target="../ctrlProps/ctrlProp6.xml"/><Relationship Id="rId4" Type="http://schemas.openxmlformats.org/officeDocument/2006/relationships/vmlDrawing" Target="../drawings/vmlDrawing1.vml"/><Relationship Id="rId9" Type="http://schemas.openxmlformats.org/officeDocument/2006/relationships/ctrlProp" Target="../ctrlProps/ctrlProp5.xml"/></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8" Type="http://schemas.openxmlformats.org/officeDocument/2006/relationships/ctrlProp" Target="../ctrlProps/ctrlProp14.xml"/><Relationship Id="rId13" Type="http://schemas.openxmlformats.org/officeDocument/2006/relationships/ctrlProp" Target="../ctrlProps/ctrlProp19.xml"/><Relationship Id="rId18" Type="http://schemas.openxmlformats.org/officeDocument/2006/relationships/ctrlProp" Target="../ctrlProps/ctrlProp24.xml"/><Relationship Id="rId3" Type="http://schemas.openxmlformats.org/officeDocument/2006/relationships/ctrlProp" Target="../ctrlProps/ctrlProp9.xml"/><Relationship Id="rId21" Type="http://schemas.openxmlformats.org/officeDocument/2006/relationships/ctrlProp" Target="../ctrlProps/ctrlProp27.xml"/><Relationship Id="rId7" Type="http://schemas.openxmlformats.org/officeDocument/2006/relationships/ctrlProp" Target="../ctrlProps/ctrlProp13.xml"/><Relationship Id="rId12" Type="http://schemas.openxmlformats.org/officeDocument/2006/relationships/ctrlProp" Target="../ctrlProps/ctrlProp18.xml"/><Relationship Id="rId17" Type="http://schemas.openxmlformats.org/officeDocument/2006/relationships/ctrlProp" Target="../ctrlProps/ctrlProp23.xml"/><Relationship Id="rId25" Type="http://schemas.openxmlformats.org/officeDocument/2006/relationships/ctrlProp" Target="../ctrlProps/ctrlProp31.xml"/><Relationship Id="rId2" Type="http://schemas.openxmlformats.org/officeDocument/2006/relationships/vmlDrawing" Target="../drawings/vmlDrawing2.vml"/><Relationship Id="rId16" Type="http://schemas.openxmlformats.org/officeDocument/2006/relationships/ctrlProp" Target="../ctrlProps/ctrlProp22.xml"/><Relationship Id="rId20" Type="http://schemas.openxmlformats.org/officeDocument/2006/relationships/ctrlProp" Target="../ctrlProps/ctrlProp26.xml"/><Relationship Id="rId1" Type="http://schemas.openxmlformats.org/officeDocument/2006/relationships/drawing" Target="../drawings/drawing3.xml"/><Relationship Id="rId6" Type="http://schemas.openxmlformats.org/officeDocument/2006/relationships/ctrlProp" Target="../ctrlProps/ctrlProp12.xml"/><Relationship Id="rId11" Type="http://schemas.openxmlformats.org/officeDocument/2006/relationships/ctrlProp" Target="../ctrlProps/ctrlProp17.xml"/><Relationship Id="rId24" Type="http://schemas.openxmlformats.org/officeDocument/2006/relationships/ctrlProp" Target="../ctrlProps/ctrlProp30.xml"/><Relationship Id="rId5" Type="http://schemas.openxmlformats.org/officeDocument/2006/relationships/ctrlProp" Target="../ctrlProps/ctrlProp11.xml"/><Relationship Id="rId15" Type="http://schemas.openxmlformats.org/officeDocument/2006/relationships/ctrlProp" Target="../ctrlProps/ctrlProp21.xml"/><Relationship Id="rId23" Type="http://schemas.openxmlformats.org/officeDocument/2006/relationships/ctrlProp" Target="../ctrlProps/ctrlProp29.xml"/><Relationship Id="rId10" Type="http://schemas.openxmlformats.org/officeDocument/2006/relationships/ctrlProp" Target="../ctrlProps/ctrlProp16.xml"/><Relationship Id="rId19" Type="http://schemas.openxmlformats.org/officeDocument/2006/relationships/ctrlProp" Target="../ctrlProps/ctrlProp25.xml"/><Relationship Id="rId4" Type="http://schemas.openxmlformats.org/officeDocument/2006/relationships/ctrlProp" Target="../ctrlProps/ctrlProp10.xml"/><Relationship Id="rId9" Type="http://schemas.openxmlformats.org/officeDocument/2006/relationships/ctrlProp" Target="../ctrlProps/ctrlProp15.xml"/><Relationship Id="rId14" Type="http://schemas.openxmlformats.org/officeDocument/2006/relationships/ctrlProp" Target="../ctrlProps/ctrlProp20.xml"/><Relationship Id="rId22" Type="http://schemas.openxmlformats.org/officeDocument/2006/relationships/ctrlProp" Target="../ctrlProps/ctrlProp28.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5.xml"/><Relationship Id="rId7" Type="http://schemas.openxmlformats.org/officeDocument/2006/relationships/ctrlProp" Target="../ctrlProps/ctrlProp34.xml"/><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 Id="rId6" Type="http://schemas.openxmlformats.org/officeDocument/2006/relationships/ctrlProp" Target="../ctrlProps/ctrlProp33.xml"/><Relationship Id="rId5" Type="http://schemas.openxmlformats.org/officeDocument/2006/relationships/ctrlProp" Target="../ctrlProps/ctrlProp32.xml"/><Relationship Id="rId4" Type="http://schemas.openxmlformats.org/officeDocument/2006/relationships/vmlDrawing" Target="../drawings/vmlDrawing4.v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 Id="rId4" Type="http://schemas.openxmlformats.org/officeDocument/2006/relationships/comments" Target="../comments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Taul2"/>
  <dimension ref="B1:I32"/>
  <sheetViews>
    <sheetView topLeftCell="B102" zoomScaleNormal="100" workbookViewId="0"/>
  </sheetViews>
  <sheetFormatPr defaultColWidth="9.140625" defaultRowHeight="15"/>
  <cols>
    <col min="1" max="1" width="3.28515625" style="1" customWidth="1"/>
    <col min="2" max="2" width="1.85546875" style="1" customWidth="1"/>
    <col min="3" max="3" width="127.28515625" style="1" customWidth="1"/>
    <col min="4" max="4" width="10.85546875" style="1" customWidth="1"/>
    <col min="5" max="5" width="2" style="1" customWidth="1"/>
    <col min="6" max="6" width="56" style="1" customWidth="1"/>
    <col min="7" max="7" width="21.42578125" style="1" customWidth="1"/>
    <col min="8" max="16384" width="9.140625" style="1"/>
  </cols>
  <sheetData>
    <row r="1" spans="2:7" ht="20.100000000000001" customHeight="1" thickBot="1"/>
    <row r="2" spans="2:7" ht="39.950000000000003" customHeight="1">
      <c r="B2" s="15"/>
      <c r="C2" s="17" t="s">
        <v>157</v>
      </c>
      <c r="D2" s="265" t="s">
        <v>369</v>
      </c>
    </row>
    <row r="3" spans="2:7" ht="39.950000000000003" customHeight="1">
      <c r="B3" s="2"/>
      <c r="C3" s="257" t="s">
        <v>263</v>
      </c>
      <c r="D3" s="264" t="s">
        <v>621</v>
      </c>
      <c r="E3" s="6"/>
      <c r="G3" s="7"/>
    </row>
    <row r="4" spans="2:7" ht="66" customHeight="1">
      <c r="B4" s="2"/>
      <c r="C4" s="262" t="s">
        <v>439</v>
      </c>
      <c r="D4" s="14"/>
      <c r="G4" s="7"/>
    </row>
    <row r="5" spans="2:7" s="7" customFormat="1" ht="39.950000000000003" customHeight="1" thickBot="1">
      <c r="B5" s="9"/>
      <c r="C5" s="257" t="s">
        <v>264</v>
      </c>
      <c r="D5" s="14"/>
      <c r="E5" s="8"/>
    </row>
    <row r="6" spans="2:7" s="7" customFormat="1" ht="38.1" customHeight="1">
      <c r="B6" s="2"/>
      <c r="C6" s="745" t="s">
        <v>443</v>
      </c>
      <c r="D6" s="14"/>
      <c r="E6" s="10"/>
      <c r="F6" s="248" t="s">
        <v>370</v>
      </c>
    </row>
    <row r="7" spans="2:7" ht="38.1" customHeight="1">
      <c r="B7" s="9"/>
      <c r="C7" s="745"/>
      <c r="D7" s="14"/>
      <c r="F7" s="746" t="s">
        <v>447</v>
      </c>
    </row>
    <row r="8" spans="2:7" s="7" customFormat="1" ht="38.1" customHeight="1">
      <c r="B8" s="9"/>
      <c r="C8" s="745"/>
      <c r="D8" s="14"/>
      <c r="E8" s="8"/>
      <c r="F8" s="746"/>
    </row>
    <row r="9" spans="2:7" s="7" customFormat="1" ht="38.1" customHeight="1">
      <c r="B9" s="9"/>
      <c r="C9" s="745"/>
      <c r="D9" s="14"/>
      <c r="E9" s="8"/>
      <c r="F9" s="746" t="s">
        <v>448</v>
      </c>
    </row>
    <row r="10" spans="2:7" s="7" customFormat="1" ht="38.1" customHeight="1">
      <c r="B10" s="2"/>
      <c r="C10" s="745"/>
      <c r="D10" s="14"/>
      <c r="E10" s="8"/>
      <c r="F10" s="746"/>
    </row>
    <row r="11" spans="2:7" s="7" customFormat="1" ht="38.1" customHeight="1">
      <c r="B11" s="9"/>
      <c r="C11" s="745"/>
      <c r="D11" s="14"/>
      <c r="E11" s="8"/>
      <c r="F11" s="746"/>
    </row>
    <row r="12" spans="2:7" ht="38.1" customHeight="1">
      <c r="B12" s="9"/>
      <c r="C12" s="745"/>
      <c r="D12" s="14"/>
      <c r="F12" s="746" t="s">
        <v>449</v>
      </c>
      <c r="G12" s="7"/>
    </row>
    <row r="13" spans="2:7" s="7" customFormat="1" ht="39.950000000000003" customHeight="1">
      <c r="B13" s="9"/>
      <c r="C13" s="257" t="s">
        <v>265</v>
      </c>
      <c r="D13" s="14"/>
      <c r="F13" s="746"/>
      <c r="G13" s="11"/>
    </row>
    <row r="14" spans="2:7" s="7" customFormat="1" ht="36.950000000000003" customHeight="1">
      <c r="B14" s="9"/>
      <c r="C14" s="745" t="s">
        <v>444</v>
      </c>
      <c r="D14" s="14"/>
      <c r="F14" s="746" t="s">
        <v>450</v>
      </c>
      <c r="G14" s="12"/>
    </row>
    <row r="15" spans="2:7" s="7" customFormat="1" ht="36.950000000000003" customHeight="1">
      <c r="B15" s="9"/>
      <c r="C15" s="745"/>
      <c r="D15" s="14"/>
      <c r="F15" s="746"/>
      <c r="G15" s="12"/>
    </row>
    <row r="16" spans="2:7" s="7" customFormat="1" ht="36.950000000000003" customHeight="1">
      <c r="B16" s="9"/>
      <c r="C16" s="745"/>
      <c r="D16" s="14"/>
      <c r="F16" s="746" t="s">
        <v>451</v>
      </c>
    </row>
    <row r="17" spans="2:9" s="7" customFormat="1" ht="36.950000000000003" customHeight="1" thickBot="1">
      <c r="B17" s="9"/>
      <c r="C17" s="745"/>
      <c r="D17" s="14"/>
      <c r="F17" s="747"/>
      <c r="G17" s="13"/>
    </row>
    <row r="18" spans="2:9" s="7" customFormat="1" ht="36.950000000000003" customHeight="1">
      <c r="B18" s="9"/>
      <c r="C18" s="745"/>
      <c r="D18" s="14"/>
      <c r="G18" s="12"/>
    </row>
    <row r="19" spans="2:9" s="7" customFormat="1" ht="45" customHeight="1">
      <c r="B19" s="9"/>
      <c r="C19" s="745"/>
      <c r="D19" s="14"/>
      <c r="F19" s="259"/>
    </row>
    <row r="20" spans="2:9" s="7" customFormat="1" ht="35.1" customHeight="1">
      <c r="B20" s="9"/>
      <c r="C20" s="257" t="s">
        <v>266</v>
      </c>
      <c r="D20" s="14"/>
      <c r="F20" s="260"/>
    </row>
    <row r="21" spans="2:9" s="7" customFormat="1" ht="35.1" customHeight="1">
      <c r="B21" s="2"/>
      <c r="C21" s="745" t="s">
        <v>445</v>
      </c>
      <c r="D21" s="14"/>
      <c r="F21" s="261"/>
      <c r="I21" s="246"/>
    </row>
    <row r="22" spans="2:9" s="7" customFormat="1" ht="35.1" customHeight="1">
      <c r="B22" s="2"/>
      <c r="C22" s="745"/>
      <c r="D22" s="14"/>
      <c r="F22" s="261"/>
      <c r="I22" s="246"/>
    </row>
    <row r="23" spans="2:9" s="7" customFormat="1" ht="60" customHeight="1">
      <c r="B23" s="2"/>
      <c r="C23" s="745"/>
      <c r="D23" s="14"/>
      <c r="I23" s="246"/>
    </row>
    <row r="24" spans="2:9" ht="35.1" customHeight="1">
      <c r="B24" s="2"/>
      <c r="C24" s="257" t="s">
        <v>432</v>
      </c>
      <c r="D24" s="3"/>
      <c r="I24" s="247"/>
    </row>
    <row r="25" spans="2:9" ht="35.1" customHeight="1">
      <c r="B25" s="2"/>
      <c r="C25" s="745" t="s">
        <v>616</v>
      </c>
      <c r="D25" s="3"/>
      <c r="I25" s="247"/>
    </row>
    <row r="26" spans="2:9" ht="35.1" customHeight="1">
      <c r="B26" s="2"/>
      <c r="C26" s="745"/>
      <c r="D26" s="3"/>
      <c r="I26" s="247"/>
    </row>
    <row r="27" spans="2:9" ht="75" customHeight="1">
      <c r="B27" s="2"/>
      <c r="C27" s="745"/>
      <c r="D27" s="3"/>
      <c r="I27" s="247"/>
    </row>
    <row r="28" spans="2:9" ht="35.1" customHeight="1">
      <c r="B28" s="2"/>
      <c r="C28" s="257" t="s">
        <v>434</v>
      </c>
      <c r="D28" s="3"/>
    </row>
    <row r="29" spans="2:9" ht="150" customHeight="1" thickBot="1">
      <c r="B29" s="4"/>
      <c r="C29" s="263" t="s">
        <v>446</v>
      </c>
      <c r="D29" s="5"/>
      <c r="F29" s="93" t="s">
        <v>604</v>
      </c>
    </row>
    <row r="30" spans="2:9" ht="15.75" thickBot="1">
      <c r="C30" s="256"/>
    </row>
    <row r="31" spans="2:9">
      <c r="C31" s="256"/>
      <c r="D31" s="743" t="s">
        <v>249</v>
      </c>
    </row>
    <row r="32" spans="2:9" ht="15.75" thickBot="1">
      <c r="C32" s="256"/>
      <c r="D32" s="744"/>
    </row>
  </sheetData>
  <sheetProtection algorithmName="SHA-512" hashValue="1+B4G6Zx5mEf9eHz1cFfsh14AXUPuj536smmdRaFoaRwT0rOYANp4SbgW/JWe2m4J5rPSkHg8oXnnkNDPi6/iA==" saltValue="ERAMEgQ+AKKYD7NwQcrfjQ==" spinCount="100000" sheet="1" objects="1" scenarios="1"/>
  <customSheetViews>
    <customSheetView guid="{C0826E8D-7112-6B45-A18A-1E6622F31D95}" scale="110">
      <selection activeCell="C37" sqref="C37:D37"/>
      <pageMargins left="0.7" right="0.7" top="0.75" bottom="0.75" header="0.3" footer="0.3"/>
      <pageSetup paperSize="9" orientation="portrait" r:id="rId1"/>
    </customSheetView>
  </customSheetViews>
  <mergeCells count="10">
    <mergeCell ref="F14:F15"/>
    <mergeCell ref="F16:F17"/>
    <mergeCell ref="F7:F8"/>
    <mergeCell ref="F9:F11"/>
    <mergeCell ref="F12:F13"/>
    <mergeCell ref="D31:D32"/>
    <mergeCell ref="C6:C12"/>
    <mergeCell ref="C14:C19"/>
    <mergeCell ref="C21:C23"/>
    <mergeCell ref="C25:C27"/>
  </mergeCells>
  <hyperlinks>
    <hyperlink ref="D31" location="'Avgränsningar'!A1" display="Aloita" xr:uid="{3F10CD0B-BB3B-A240-82A7-6F68202879D8}"/>
  </hyperlinks>
  <pageMargins left="0.7" right="0.7" top="0.75" bottom="0.75" header="0.3" footer="0.3"/>
  <pageSetup paperSize="9" orientation="portrait" r:id="rId2"/>
  <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tabColor rgb="FFD88C78"/>
  </sheetPr>
  <dimension ref="A1:AR85"/>
  <sheetViews>
    <sheetView zoomScaleNormal="100" workbookViewId="0">
      <selection activeCell="B3" sqref="B3"/>
    </sheetView>
  </sheetViews>
  <sheetFormatPr defaultColWidth="9.140625" defaultRowHeight="14.25"/>
  <cols>
    <col min="1" max="1" width="3.28515625" style="18" customWidth="1"/>
    <col min="2" max="2" width="50.85546875" style="18" customWidth="1"/>
    <col min="3" max="3" width="5.85546875" style="18" customWidth="1"/>
    <col min="4" max="4" width="50.85546875" style="18" customWidth="1"/>
    <col min="5" max="5" width="5.85546875" style="18" customWidth="1"/>
    <col min="6" max="6" width="55.140625" style="18" customWidth="1"/>
    <col min="7" max="7" width="5.85546875" style="18" customWidth="1"/>
    <col min="8" max="8" width="15.85546875" style="18" customWidth="1"/>
    <col min="9" max="9" width="5.85546875" style="18" customWidth="1"/>
    <col min="10" max="10" width="54.140625" style="18" customWidth="1"/>
    <col min="11" max="13" width="9.140625" style="18" customWidth="1"/>
    <col min="14" max="14" width="20" style="18" customWidth="1"/>
    <col min="15" max="21" width="32.85546875" style="18" customWidth="1"/>
    <col min="22" max="32" width="9.85546875" style="18" customWidth="1"/>
    <col min="33" max="33" width="5.42578125" style="18" customWidth="1"/>
    <col min="34" max="34" width="45.140625" style="18" customWidth="1"/>
    <col min="35" max="36" width="16.85546875" style="18" customWidth="1"/>
    <col min="37" max="37" width="25.42578125" style="18" customWidth="1"/>
    <col min="38" max="38" width="9.140625" style="18" customWidth="1"/>
    <col min="39" max="16384" width="9.140625" style="18"/>
  </cols>
  <sheetData>
    <row r="1" spans="2:44" ht="20.100000000000001" customHeight="1">
      <c r="G1" s="19"/>
    </row>
    <row r="2" spans="2:44" ht="30" customHeight="1">
      <c r="B2" s="649" t="s">
        <v>236</v>
      </c>
      <c r="C2" s="649"/>
      <c r="D2" s="649" t="s">
        <v>162</v>
      </c>
      <c r="E2" s="19"/>
      <c r="F2" s="19"/>
      <c r="G2" s="22"/>
      <c r="H2" s="22"/>
      <c r="I2" s="22"/>
      <c r="J2" s="22"/>
    </row>
    <row r="3" spans="2:44" ht="30" customHeight="1">
      <c r="B3" s="650"/>
      <c r="C3" s="19"/>
      <c r="D3" s="650"/>
      <c r="E3" s="19"/>
      <c r="F3" s="19"/>
      <c r="G3" s="22"/>
      <c r="H3" s="22"/>
      <c r="I3" s="22"/>
      <c r="J3" s="19"/>
    </row>
    <row r="4" spans="2:44" ht="30" customHeight="1">
      <c r="B4" s="651"/>
      <c r="C4" s="19"/>
      <c r="D4" s="19"/>
      <c r="E4" s="19"/>
      <c r="F4" s="19"/>
      <c r="G4" s="22"/>
      <c r="H4" s="22"/>
      <c r="I4" s="22"/>
      <c r="J4" s="19"/>
    </row>
    <row r="5" spans="2:44" ht="30" customHeight="1" thickBot="1">
      <c r="B5" s="649" t="s">
        <v>244</v>
      </c>
      <c r="C5" s="19"/>
      <c r="D5" s="649" t="s">
        <v>166</v>
      </c>
      <c r="E5" s="19"/>
      <c r="F5" s="649" t="s">
        <v>165</v>
      </c>
      <c r="G5" s="266"/>
      <c r="H5" s="22"/>
      <c r="I5" s="22"/>
      <c r="J5" s="19"/>
    </row>
    <row r="6" spans="2:44" ht="30" customHeight="1" thickBot="1">
      <c r="B6" s="650"/>
      <c r="C6" s="19"/>
      <c r="D6" s="650"/>
      <c r="E6" s="19"/>
      <c r="F6" s="652"/>
      <c r="G6" s="267"/>
      <c r="H6" s="22"/>
      <c r="I6" s="22"/>
      <c r="J6" s="653" t="s">
        <v>247</v>
      </c>
    </row>
    <row r="7" spans="2:44" ht="30" customHeight="1">
      <c r="B7" s="22"/>
      <c r="C7" s="22"/>
      <c r="D7" s="22"/>
      <c r="E7" s="22"/>
      <c r="F7" s="22"/>
      <c r="G7" s="22"/>
      <c r="H7" s="22"/>
      <c r="I7" s="22"/>
      <c r="J7" s="654"/>
    </row>
    <row r="8" spans="2:44" ht="30" customHeight="1">
      <c r="B8" s="752" t="s">
        <v>7</v>
      </c>
      <c r="C8" s="752" t="s">
        <v>15</v>
      </c>
      <c r="D8" s="752" t="s">
        <v>119</v>
      </c>
      <c r="E8" s="752"/>
      <c r="F8" s="752"/>
      <c r="G8" s="639"/>
      <c r="H8" s="752" t="s">
        <v>120</v>
      </c>
      <c r="I8" s="22"/>
      <c r="J8" s="655" t="s">
        <v>118</v>
      </c>
      <c r="K8" s="20"/>
      <c r="AG8" s="764"/>
      <c r="AH8" s="764"/>
      <c r="AI8" s="43"/>
      <c r="AJ8" s="43"/>
      <c r="AK8" s="43"/>
      <c r="AP8" s="44"/>
      <c r="AQ8" s="45"/>
      <c r="AR8" s="45"/>
    </row>
    <row r="9" spans="2:44" ht="30" customHeight="1">
      <c r="B9" s="752"/>
      <c r="C9" s="752"/>
      <c r="D9" s="752"/>
      <c r="E9" s="752"/>
      <c r="F9" s="752"/>
      <c r="G9" s="639"/>
      <c r="H9" s="752"/>
      <c r="I9" s="22"/>
      <c r="J9" s="735">
        <f ca="1">OFFSET(B40,0,C42)</f>
        <v>1.2</v>
      </c>
      <c r="K9" s="21"/>
      <c r="AG9" s="25"/>
      <c r="AH9" s="46"/>
      <c r="AI9" s="47"/>
      <c r="AJ9" s="47"/>
      <c r="AK9" s="25"/>
    </row>
    <row r="10" spans="2:44" ht="30" customHeight="1">
      <c r="B10" s="757" t="s">
        <v>259</v>
      </c>
      <c r="C10" s="756">
        <v>1</v>
      </c>
      <c r="D10" s="641" t="s">
        <v>472</v>
      </c>
      <c r="E10" s="642"/>
      <c r="F10" s="642"/>
      <c r="G10" s="643"/>
      <c r="H10" s="644"/>
      <c r="I10" s="22"/>
      <c r="J10" s="740" t="s">
        <v>240</v>
      </c>
      <c r="AG10" s="48"/>
      <c r="AH10" s="49"/>
      <c r="AI10" s="50"/>
      <c r="AJ10" s="50"/>
      <c r="AK10" s="48"/>
      <c r="AL10" s="33"/>
    </row>
    <row r="11" spans="2:44" ht="30" customHeight="1">
      <c r="B11" s="757"/>
      <c r="C11" s="756"/>
      <c r="D11" s="753" t="s">
        <v>463</v>
      </c>
      <c r="E11" s="753"/>
      <c r="F11" s="753"/>
      <c r="G11" s="753"/>
      <c r="H11" s="645"/>
      <c r="I11" s="22"/>
      <c r="J11" s="738"/>
      <c r="AG11" s="48"/>
      <c r="AH11" s="49"/>
      <c r="AI11" s="50"/>
      <c r="AJ11" s="50"/>
      <c r="AK11" s="48"/>
      <c r="AL11" s="33"/>
    </row>
    <row r="12" spans="2:44" ht="30" customHeight="1">
      <c r="B12" s="757"/>
      <c r="C12" s="756"/>
      <c r="D12" s="753" t="s">
        <v>464</v>
      </c>
      <c r="E12" s="753"/>
      <c r="F12" s="753"/>
      <c r="G12" s="753"/>
      <c r="H12" s="645"/>
      <c r="I12" s="22"/>
      <c r="J12" s="740" t="s">
        <v>148</v>
      </c>
      <c r="AG12" s="48"/>
      <c r="AH12" s="49"/>
      <c r="AI12" s="50"/>
      <c r="AJ12" s="50"/>
      <c r="AK12" s="48"/>
      <c r="AL12" s="33"/>
    </row>
    <row r="13" spans="2:44" ht="30" customHeight="1">
      <c r="B13" s="757"/>
      <c r="C13" s="756"/>
      <c r="D13" s="753" t="s">
        <v>476</v>
      </c>
      <c r="E13" s="753"/>
      <c r="F13" s="753"/>
      <c r="G13" s="753"/>
      <c r="H13" s="645"/>
      <c r="I13" s="22"/>
      <c r="J13" s="738"/>
      <c r="AG13" s="33"/>
      <c r="AH13" s="33"/>
      <c r="AI13" s="33"/>
      <c r="AJ13" s="33"/>
      <c r="AK13" s="33"/>
      <c r="AL13" s="33"/>
    </row>
    <row r="14" spans="2:44" ht="30" customHeight="1">
      <c r="B14" s="757"/>
      <c r="C14" s="756"/>
      <c r="D14" s="753" t="s">
        <v>53</v>
      </c>
      <c r="E14" s="753"/>
      <c r="F14" s="753"/>
      <c r="G14" s="753"/>
      <c r="H14" s="645"/>
      <c r="I14" s="22"/>
      <c r="J14" s="740" t="s">
        <v>167</v>
      </c>
      <c r="AG14" s="33"/>
      <c r="AH14" s="51"/>
      <c r="AI14" s="52"/>
      <c r="AJ14" s="52"/>
      <c r="AK14" s="33"/>
      <c r="AL14" s="33"/>
    </row>
    <row r="15" spans="2:44" ht="30" customHeight="1">
      <c r="B15" s="757"/>
      <c r="C15" s="756"/>
      <c r="D15" s="641" t="s">
        <v>52</v>
      </c>
      <c r="E15" s="642"/>
      <c r="F15" s="642"/>
      <c r="G15" s="643"/>
      <c r="H15" s="645"/>
      <c r="I15" s="22"/>
      <c r="J15" s="739"/>
      <c r="AG15" s="33"/>
      <c r="AH15" s="51"/>
      <c r="AI15" s="52"/>
      <c r="AJ15" s="52"/>
      <c r="AK15" s="33"/>
      <c r="AL15" s="33"/>
    </row>
    <row r="16" spans="2:44" ht="30" customHeight="1">
      <c r="B16" s="646" t="s">
        <v>353</v>
      </c>
      <c r="C16" s="640">
        <v>2</v>
      </c>
      <c r="D16" s="754" t="s">
        <v>574</v>
      </c>
      <c r="E16" s="754"/>
      <c r="F16" s="754"/>
      <c r="G16" s="754"/>
      <c r="H16" s="647" t="s">
        <v>626</v>
      </c>
      <c r="I16" s="22"/>
      <c r="J16" s="737" t="s">
        <v>241</v>
      </c>
      <c r="AG16" s="53"/>
      <c r="AH16" s="51"/>
      <c r="AI16" s="50"/>
      <c r="AJ16" s="35"/>
      <c r="AK16" s="33"/>
      <c r="AL16" s="33"/>
      <c r="AN16" s="45"/>
    </row>
    <row r="17" spans="2:40" ht="30" customHeight="1">
      <c r="B17" s="755" t="s">
        <v>270</v>
      </c>
      <c r="C17" s="640">
        <v>3</v>
      </c>
      <c r="D17" s="765" t="s">
        <v>575</v>
      </c>
      <c r="E17" s="765"/>
      <c r="F17" s="765"/>
      <c r="G17" s="765"/>
      <c r="H17" s="647" t="s">
        <v>627</v>
      </c>
      <c r="I17" s="22"/>
      <c r="J17" s="736" t="str">
        <f>IF(J11=0,"",J13/J11)</f>
        <v/>
      </c>
      <c r="AG17" s="53"/>
      <c r="AH17" s="51"/>
      <c r="AI17" s="50"/>
      <c r="AJ17" s="35"/>
      <c r="AK17" s="33"/>
      <c r="AL17" s="33"/>
      <c r="AN17" s="45"/>
    </row>
    <row r="18" spans="2:40" ht="30" customHeight="1">
      <c r="B18" s="755"/>
      <c r="C18" s="640">
        <v>4</v>
      </c>
      <c r="D18" s="754" t="s">
        <v>576</v>
      </c>
      <c r="E18" s="754"/>
      <c r="F18" s="754"/>
      <c r="G18" s="754"/>
      <c r="H18" s="648" t="s">
        <v>628</v>
      </c>
      <c r="I18" s="22"/>
      <c r="J18" s="740" t="s">
        <v>242</v>
      </c>
      <c r="AG18" s="53"/>
      <c r="AH18" s="51"/>
      <c r="AI18" s="50"/>
      <c r="AJ18" s="35"/>
      <c r="AK18" s="33"/>
      <c r="AL18" s="33"/>
    </row>
    <row r="19" spans="2:40" ht="30" customHeight="1">
      <c r="B19" s="659"/>
      <c r="C19" s="658"/>
      <c r="D19" s="659"/>
      <c r="E19" s="659"/>
      <c r="F19" s="660"/>
      <c r="G19" s="659"/>
      <c r="H19" s="661"/>
      <c r="I19" s="22"/>
      <c r="J19" s="656" t="str">
        <f>IF(J15=0," ",J15/J11)</f>
        <v xml:space="preserve"> </v>
      </c>
      <c r="AG19" s="53"/>
      <c r="AH19" s="51"/>
      <c r="AI19" s="50"/>
      <c r="AJ19" s="35"/>
      <c r="AK19" s="33"/>
      <c r="AL19" s="33"/>
    </row>
    <row r="20" spans="2:40" ht="30" customHeight="1">
      <c r="B20" s="657"/>
      <c r="C20" s="658"/>
      <c r="D20" s="659"/>
      <c r="E20" s="659"/>
      <c r="F20" s="660"/>
      <c r="G20" s="659"/>
      <c r="H20" s="661"/>
      <c r="I20" s="22"/>
      <c r="AG20" s="53"/>
      <c r="AH20" s="51"/>
      <c r="AI20" s="50"/>
      <c r="AJ20" s="35"/>
      <c r="AK20" s="33"/>
      <c r="AL20" s="33"/>
    </row>
    <row r="21" spans="2:40" ht="30" customHeight="1">
      <c r="B21" s="758" t="s">
        <v>238</v>
      </c>
      <c r="C21" s="759"/>
      <c r="D21" s="759"/>
      <c r="E21" s="759"/>
      <c r="F21" s="759"/>
      <c r="G21" s="759"/>
      <c r="H21" s="760"/>
      <c r="I21" s="268"/>
      <c r="J21" s="749" t="s">
        <v>245</v>
      </c>
      <c r="AG21" s="53"/>
      <c r="AH21" s="51"/>
      <c r="AI21" s="50"/>
      <c r="AJ21" s="35"/>
      <c r="AK21" s="33"/>
      <c r="AL21" s="33"/>
    </row>
    <row r="22" spans="2:40" ht="30" customHeight="1">
      <c r="B22" s="761"/>
      <c r="C22" s="762"/>
      <c r="D22" s="762"/>
      <c r="E22" s="762"/>
      <c r="F22" s="762"/>
      <c r="G22" s="762"/>
      <c r="H22" s="763"/>
      <c r="I22" s="22"/>
      <c r="J22" s="749"/>
      <c r="AG22" s="53"/>
      <c r="AH22" s="51"/>
      <c r="AI22" s="50"/>
      <c r="AJ22" s="35"/>
      <c r="AK22" s="33"/>
      <c r="AL22" s="33"/>
    </row>
    <row r="23" spans="2:40" ht="30" customHeight="1">
      <c r="B23" s="662"/>
      <c r="C23" s="658"/>
      <c r="D23" s="19"/>
      <c r="E23" s="19"/>
      <c r="F23" s="19"/>
      <c r="G23" s="19"/>
      <c r="H23" s="663"/>
      <c r="I23" s="22"/>
      <c r="J23" s="748" t="str">
        <f>Avgränsningar!D50</f>
        <v/>
      </c>
      <c r="AG23" s="53"/>
      <c r="AH23" s="51"/>
      <c r="AI23" s="50"/>
      <c r="AJ23" s="35"/>
      <c r="AK23" s="33"/>
      <c r="AL23" s="33"/>
    </row>
    <row r="24" spans="2:40" ht="30" customHeight="1">
      <c r="B24" s="662"/>
      <c r="C24" s="658"/>
      <c r="D24" s="659"/>
      <c r="E24" s="659"/>
      <c r="F24" s="664" t="s">
        <v>327</v>
      </c>
      <c r="G24" s="19"/>
      <c r="H24" s="663"/>
      <c r="I24" s="22"/>
      <c r="J24" s="748"/>
      <c r="AG24" s="53"/>
      <c r="AH24" s="51"/>
      <c r="AI24" s="50"/>
      <c r="AJ24" s="35"/>
      <c r="AK24" s="33"/>
      <c r="AL24" s="33"/>
    </row>
    <row r="25" spans="2:40" ht="30" customHeight="1">
      <c r="B25" s="662"/>
      <c r="C25" s="658"/>
      <c r="D25" s="19"/>
      <c r="E25" s="19"/>
      <c r="F25" s="665"/>
      <c r="G25" s="19"/>
      <c r="H25" s="663"/>
      <c r="I25" s="22"/>
      <c r="J25" s="748"/>
      <c r="AG25" s="53"/>
      <c r="AH25" s="51"/>
      <c r="AI25" s="50"/>
      <c r="AJ25" s="35"/>
      <c r="AK25" s="33"/>
      <c r="AL25" s="33"/>
    </row>
    <row r="26" spans="2:40" ht="30" customHeight="1">
      <c r="B26" s="662"/>
      <c r="C26" s="658"/>
      <c r="D26" s="659"/>
      <c r="E26" s="659"/>
      <c r="F26" s="666" t="s">
        <v>328</v>
      </c>
      <c r="G26" s="19"/>
      <c r="H26" s="663"/>
      <c r="I26" s="22"/>
      <c r="J26" s="748"/>
      <c r="AG26" s="53"/>
      <c r="AH26" s="51"/>
      <c r="AI26" s="50"/>
      <c r="AJ26" s="35"/>
      <c r="AK26" s="33"/>
      <c r="AL26" s="33"/>
    </row>
    <row r="27" spans="2:40" ht="30" customHeight="1">
      <c r="B27" s="662"/>
      <c r="C27" s="658"/>
      <c r="D27" s="659"/>
      <c r="E27" s="659"/>
      <c r="F27" s="665"/>
      <c r="G27" s="19"/>
      <c r="H27" s="663"/>
      <c r="I27" s="22"/>
      <c r="J27" s="748"/>
      <c r="AG27" s="53"/>
      <c r="AH27" s="51"/>
      <c r="AI27" s="50"/>
      <c r="AJ27" s="35"/>
      <c r="AK27" s="33"/>
      <c r="AL27" s="33"/>
    </row>
    <row r="28" spans="2:40" ht="30" customHeight="1">
      <c r="B28" s="662"/>
      <c r="C28" s="658"/>
      <c r="D28" s="659"/>
      <c r="E28" s="659"/>
      <c r="F28" s="666" t="s">
        <v>329</v>
      </c>
      <c r="G28" s="19"/>
      <c r="H28" s="663"/>
      <c r="I28" s="22"/>
      <c r="J28" s="748"/>
      <c r="AG28" s="53"/>
      <c r="AH28" s="51"/>
      <c r="AI28" s="50"/>
      <c r="AJ28" s="35"/>
      <c r="AK28" s="33"/>
      <c r="AL28" s="33"/>
    </row>
    <row r="29" spans="2:40" ht="30" customHeight="1">
      <c r="B29" s="667"/>
      <c r="C29" s="658"/>
      <c r="D29" s="659"/>
      <c r="E29" s="659"/>
      <c r="F29" s="665"/>
      <c r="G29" s="668"/>
      <c r="H29" s="663"/>
      <c r="I29" s="22"/>
      <c r="J29" s="748"/>
      <c r="AG29" s="53"/>
      <c r="AH29" s="51"/>
      <c r="AI29" s="50"/>
      <c r="AJ29" s="35"/>
      <c r="AK29" s="33"/>
      <c r="AL29" s="33"/>
    </row>
    <row r="30" spans="2:40" ht="30" customHeight="1">
      <c r="B30" s="667"/>
      <c r="C30" s="658"/>
      <c r="D30" s="659"/>
      <c r="E30" s="659"/>
      <c r="F30" s="666" t="s">
        <v>330</v>
      </c>
      <c r="G30" s="669"/>
      <c r="H30" s="663"/>
      <c r="I30" s="22"/>
      <c r="J30" s="748"/>
      <c r="AG30" s="53"/>
      <c r="AH30" s="51"/>
      <c r="AI30" s="50"/>
      <c r="AJ30" s="35"/>
      <c r="AK30" s="33"/>
      <c r="AL30" s="33"/>
    </row>
    <row r="31" spans="2:40" ht="30" customHeight="1">
      <c r="B31" s="670"/>
      <c r="C31" s="658"/>
      <c r="D31" s="659"/>
      <c r="E31" s="659"/>
      <c r="F31" s="671" t="e">
        <f>(F25+F27)/(2*F27)*F29</f>
        <v>#DIV/0!</v>
      </c>
      <c r="G31" s="672"/>
      <c r="H31" s="663"/>
      <c r="I31" s="22"/>
      <c r="J31" s="748"/>
      <c r="AG31" s="53"/>
      <c r="AH31" s="51"/>
      <c r="AI31" s="50"/>
      <c r="AJ31" s="35"/>
      <c r="AK31" s="33"/>
      <c r="AL31" s="33"/>
    </row>
    <row r="32" spans="2:40" ht="30" customHeight="1">
      <c r="B32" s="750" t="s">
        <v>577</v>
      </c>
      <c r="C32" s="751"/>
      <c r="D32" s="658" t="s">
        <v>578</v>
      </c>
      <c r="E32" s="659"/>
      <c r="F32" s="19"/>
      <c r="G32" s="669"/>
      <c r="H32" s="663"/>
      <c r="I32" s="22"/>
      <c r="J32" s="748"/>
      <c r="AG32" s="53"/>
      <c r="AH32" s="51"/>
      <c r="AI32" s="50"/>
      <c r="AJ32" s="35"/>
      <c r="AK32" s="33"/>
      <c r="AL32" s="33"/>
    </row>
    <row r="33" spans="1:43" ht="30" customHeight="1">
      <c r="B33" s="673"/>
      <c r="C33" s="674"/>
      <c r="D33" s="675"/>
      <c r="E33" s="674"/>
      <c r="F33" s="674"/>
      <c r="G33" s="676"/>
      <c r="H33" s="677"/>
      <c r="I33" s="22"/>
      <c r="J33" s="748"/>
      <c r="AG33" s="53"/>
      <c r="AH33" s="51"/>
      <c r="AI33" s="50"/>
      <c r="AJ33" s="35"/>
      <c r="AK33" s="33"/>
      <c r="AL33" s="33"/>
    </row>
    <row r="34" spans="1:43" ht="30" customHeight="1" thickBot="1">
      <c r="B34" s="19"/>
      <c r="C34" s="19"/>
      <c r="D34" s="19"/>
      <c r="E34" s="19"/>
      <c r="F34" s="19"/>
      <c r="G34" s="669"/>
      <c r="H34" s="19"/>
      <c r="I34" s="22"/>
      <c r="J34" s="19"/>
      <c r="AG34" s="53"/>
      <c r="AH34" s="51"/>
      <c r="AI34" s="50"/>
      <c r="AJ34" s="35"/>
      <c r="AK34" s="33"/>
      <c r="AL34" s="33"/>
    </row>
    <row r="35" spans="1:43" ht="30" customHeight="1" thickBot="1">
      <c r="B35" s="678" t="s">
        <v>579</v>
      </c>
      <c r="C35" s="19"/>
      <c r="D35" s="19"/>
      <c r="E35" s="679"/>
      <c r="F35" s="19"/>
      <c r="G35" s="672"/>
      <c r="H35" s="19"/>
      <c r="I35" s="22"/>
      <c r="J35" s="653" t="s">
        <v>248</v>
      </c>
      <c r="AG35" s="53"/>
      <c r="AH35" s="51"/>
      <c r="AI35" s="50"/>
      <c r="AJ35" s="35"/>
      <c r="AK35" s="33"/>
      <c r="AL35" s="33"/>
    </row>
    <row r="36" spans="1:43" s="22" customFormat="1" ht="30" customHeight="1">
      <c r="B36" s="678" t="s">
        <v>239</v>
      </c>
      <c r="C36" s="19"/>
      <c r="D36" s="19"/>
      <c r="E36" s="19"/>
      <c r="F36" s="19"/>
      <c r="G36" s="19"/>
      <c r="H36" s="19"/>
      <c r="J36" s="19"/>
      <c r="AG36" s="55"/>
      <c r="AH36" s="51"/>
      <c r="AI36" s="50"/>
      <c r="AJ36" s="35"/>
      <c r="AK36" s="35"/>
      <c r="AL36" s="35"/>
    </row>
    <row r="37" spans="1:43" s="22" customFormat="1" ht="30" customHeight="1">
      <c r="B37" s="18"/>
      <c r="C37" s="23"/>
      <c r="D37" s="26"/>
      <c r="E37" s="26"/>
      <c r="F37" s="27"/>
      <c r="G37" s="27"/>
      <c r="H37" s="24"/>
      <c r="J37" s="19"/>
      <c r="AG37" s="55"/>
      <c r="AH37" s="51"/>
      <c r="AI37" s="50"/>
      <c r="AJ37" s="35"/>
      <c r="AK37" s="35"/>
      <c r="AL37" s="35"/>
    </row>
    <row r="38" spans="1:43" ht="30" hidden="1" customHeight="1">
      <c r="A38" s="291"/>
      <c r="B38" s="28" t="s">
        <v>246</v>
      </c>
      <c r="C38" s="29"/>
      <c r="D38" s="29"/>
      <c r="E38" s="29"/>
      <c r="F38" s="30"/>
      <c r="G38" s="30"/>
      <c r="H38" s="292"/>
      <c r="I38" s="22"/>
      <c r="K38" s="56"/>
      <c r="L38" s="56"/>
      <c r="M38" s="56"/>
      <c r="N38" s="57"/>
      <c r="O38" s="36"/>
      <c r="P38" s="36"/>
      <c r="Q38" s="36"/>
      <c r="R38" s="36"/>
      <c r="AG38" s="53"/>
      <c r="AH38" s="51"/>
      <c r="AI38" s="50"/>
      <c r="AJ38" s="35"/>
      <c r="AK38" s="33"/>
      <c r="AL38" s="33"/>
      <c r="AP38" s="36"/>
      <c r="AQ38" s="36"/>
    </row>
    <row r="39" spans="1:43" ht="20.100000000000001" hidden="1" customHeight="1">
      <c r="A39" s="31"/>
      <c r="B39" s="32"/>
      <c r="C39" s="273"/>
      <c r="D39" s="273"/>
      <c r="E39" s="273"/>
      <c r="F39" s="274"/>
      <c r="G39" s="274"/>
      <c r="H39" s="293"/>
      <c r="AL39" s="45"/>
    </row>
    <row r="40" spans="1:43" ht="20.100000000000001" hidden="1" customHeight="1">
      <c r="A40" s="31"/>
      <c r="B40" s="275" t="s">
        <v>144</v>
      </c>
      <c r="C40" s="276">
        <v>1.2</v>
      </c>
      <c r="D40" s="276">
        <v>1</v>
      </c>
      <c r="E40" s="276">
        <v>0.9</v>
      </c>
      <c r="F40" s="276">
        <v>0.8</v>
      </c>
      <c r="G40" s="276">
        <v>0.7</v>
      </c>
      <c r="H40" s="294">
        <v>0.5</v>
      </c>
      <c r="AL40" s="45"/>
    </row>
    <row r="41" spans="1:43" ht="20.100000000000001" hidden="1" customHeight="1">
      <c r="A41" s="59"/>
      <c r="B41" s="33"/>
      <c r="C41" s="741"/>
      <c r="D41" s="277"/>
      <c r="E41" s="277"/>
      <c r="F41" s="34"/>
      <c r="G41" s="34"/>
      <c r="H41" s="295"/>
      <c r="I41" s="32"/>
      <c r="AL41" s="45"/>
    </row>
    <row r="42" spans="1:43" ht="20.100000000000001" hidden="1" customHeight="1">
      <c r="A42" s="59">
        <v>1</v>
      </c>
      <c r="B42" s="33" t="s">
        <v>629</v>
      </c>
      <c r="C42" s="741">
        <v>1</v>
      </c>
      <c r="D42" s="49"/>
      <c r="E42" s="277"/>
      <c r="F42" s="34"/>
      <c r="G42" s="34"/>
      <c r="H42" s="295"/>
      <c r="I42" s="35"/>
      <c r="AL42" s="45"/>
    </row>
    <row r="43" spans="1:43" s="36" customFormat="1" ht="20.100000000000001" hidden="1" customHeight="1">
      <c r="A43" s="59">
        <v>3</v>
      </c>
      <c r="B43" s="33" t="s">
        <v>230</v>
      </c>
      <c r="C43" s="741">
        <f>IF(H17="-",0,H17)</f>
        <v>0</v>
      </c>
      <c r="D43" s="278" t="str">
        <f>IF(AND(C43&gt;0,C47&lt;=0),"- Lisää viivyttävä rakenne!","")</f>
        <v/>
      </c>
      <c r="E43" s="33"/>
      <c r="F43" s="34"/>
      <c r="G43" s="34"/>
      <c r="H43" s="295"/>
      <c r="I43" s="18"/>
      <c r="J43" s="18"/>
      <c r="K43" s="18"/>
      <c r="L43" s="18"/>
      <c r="M43" s="18"/>
      <c r="N43" s="18"/>
      <c r="O43" s="18"/>
      <c r="U43" s="18"/>
      <c r="V43" s="18"/>
      <c r="W43" s="18"/>
      <c r="X43" s="18"/>
      <c r="Y43" s="18"/>
      <c r="Z43" s="18"/>
      <c r="AA43" s="18"/>
      <c r="AB43" s="18"/>
      <c r="AE43" s="18"/>
      <c r="AF43" s="18"/>
      <c r="AG43" s="18"/>
      <c r="AH43" s="18"/>
      <c r="AI43" s="18"/>
      <c r="AJ43" s="18"/>
      <c r="AK43" s="18"/>
      <c r="AL43" s="45"/>
      <c r="AM43" s="18"/>
    </row>
    <row r="44" spans="1:43" s="36" customFormat="1" ht="20.100000000000001" hidden="1" customHeight="1">
      <c r="A44" s="59">
        <v>4</v>
      </c>
      <c r="B44" s="33" t="s">
        <v>231</v>
      </c>
      <c r="C44" s="741">
        <f>IF(H18="-",0,H18)</f>
        <v>0</v>
      </c>
      <c r="D44" s="278" t="str">
        <f>IF(AND(C44&gt;0,C48&lt;=0),"- Lisää biosuodatusrakenne!","")</f>
        <v/>
      </c>
      <c r="E44" s="33"/>
      <c r="F44" s="34"/>
      <c r="G44" s="34"/>
      <c r="H44" s="295"/>
      <c r="I44" s="18"/>
      <c r="J44" s="18"/>
      <c r="K44" s="18"/>
      <c r="L44" s="18"/>
      <c r="M44" s="18"/>
      <c r="N44" s="18"/>
      <c r="O44" s="18"/>
      <c r="U44" s="18"/>
      <c r="V44" s="18"/>
      <c r="W44" s="18"/>
      <c r="X44" s="18"/>
      <c r="Y44" s="18"/>
      <c r="Z44" s="18"/>
      <c r="AA44" s="18"/>
      <c r="AB44" s="18"/>
      <c r="AE44" s="18"/>
      <c r="AF44" s="18"/>
      <c r="AG44" s="18"/>
      <c r="AH44" s="18"/>
      <c r="AI44" s="18"/>
      <c r="AJ44" s="18"/>
      <c r="AK44" s="18"/>
      <c r="AL44" s="45"/>
      <c r="AM44" s="18"/>
    </row>
    <row r="45" spans="1:43" s="36" customFormat="1" ht="20.100000000000001" hidden="1" customHeight="1">
      <c r="A45" s="59"/>
      <c r="B45" s="71"/>
      <c r="C45" s="71"/>
      <c r="D45" s="279"/>
      <c r="E45" s="33"/>
      <c r="F45" s="34"/>
      <c r="G45" s="34"/>
      <c r="H45" s="295"/>
      <c r="I45" s="18"/>
      <c r="J45" s="18"/>
      <c r="K45" s="18"/>
      <c r="L45" s="18"/>
      <c r="M45" s="18"/>
      <c r="N45" s="18"/>
      <c r="O45" s="18"/>
      <c r="U45" s="18"/>
      <c r="V45" s="18"/>
      <c r="W45" s="18"/>
      <c r="X45" s="18"/>
      <c r="Y45" s="18"/>
      <c r="Z45" s="18"/>
      <c r="AA45" s="18"/>
      <c r="AB45" s="18"/>
      <c r="AE45" s="18"/>
      <c r="AF45" s="18"/>
      <c r="AG45" s="18"/>
      <c r="AH45" s="18"/>
      <c r="AI45" s="18"/>
      <c r="AJ45" s="18"/>
      <c r="AK45" s="18"/>
      <c r="AL45" s="45"/>
      <c r="AM45" s="18"/>
    </row>
    <row r="46" spans="1:43" s="36" customFormat="1" ht="20.100000000000001" hidden="1" customHeight="1">
      <c r="A46" s="59"/>
      <c r="B46" s="280" t="s">
        <v>261</v>
      </c>
      <c r="C46" s="741"/>
      <c r="D46" s="37"/>
      <c r="E46" s="33"/>
      <c r="F46" s="34"/>
      <c r="G46" s="34"/>
      <c r="H46" s="295"/>
      <c r="I46" s="18"/>
      <c r="J46" s="18"/>
      <c r="K46" s="18"/>
      <c r="L46" s="18"/>
      <c r="M46" s="18"/>
      <c r="N46" s="18"/>
      <c r="O46" s="18"/>
      <c r="U46" s="18"/>
      <c r="V46" s="32"/>
      <c r="W46" s="32"/>
      <c r="X46" s="32"/>
      <c r="Y46" s="32"/>
      <c r="Z46" s="32"/>
      <c r="AA46" s="18"/>
      <c r="AB46" s="18"/>
      <c r="AC46" s="60"/>
      <c r="AD46" s="60"/>
      <c r="AE46" s="61"/>
      <c r="AF46" s="18"/>
      <c r="AG46" s="18"/>
      <c r="AH46" s="18"/>
      <c r="AI46" s="18"/>
      <c r="AJ46" s="18"/>
      <c r="AK46" s="18"/>
      <c r="AL46" s="18"/>
      <c r="AM46" s="18"/>
    </row>
    <row r="47" spans="1:43" s="36" customFormat="1" ht="20.100000000000001" hidden="1" customHeight="1">
      <c r="A47" s="59"/>
      <c r="B47" s="281" t="s">
        <v>350</v>
      </c>
      <c r="C47" s="33">
        <f>SUM(Grönkoefficient!I31:'Grönkoefficient'!I33)</f>
        <v>0</v>
      </c>
      <c r="D47" s="282" t="str">
        <f>IF(AND(C43&lt;=0,C47&gt;0),"- Määritä viivytysrakenteen viivytystilan keskisyvyys (Rajaukset: Kysymys 5)!","")</f>
        <v/>
      </c>
      <c r="E47" s="33"/>
      <c r="F47" s="34"/>
      <c r="G47" s="34"/>
      <c r="H47" s="295"/>
      <c r="I47" s="18"/>
      <c r="J47" s="18"/>
      <c r="K47" s="18"/>
      <c r="L47" s="18"/>
      <c r="M47" s="18"/>
      <c r="N47" s="18"/>
      <c r="O47" s="18"/>
      <c r="U47" s="18"/>
      <c r="V47" s="49"/>
      <c r="W47" s="35"/>
      <c r="X47" s="35"/>
      <c r="Y47" s="35"/>
      <c r="Z47" s="35"/>
      <c r="AA47" s="18"/>
      <c r="AB47" s="18"/>
      <c r="AC47" s="62"/>
      <c r="AD47" s="62"/>
      <c r="AE47" s="46"/>
      <c r="AF47" s="18"/>
      <c r="AG47" s="18"/>
      <c r="AH47" s="18"/>
      <c r="AI47" s="18"/>
      <c r="AJ47" s="18"/>
      <c r="AK47" s="18"/>
      <c r="AL47" s="18"/>
      <c r="AM47" s="18"/>
    </row>
    <row r="48" spans="1:43" s="36" customFormat="1" ht="20.100000000000001" hidden="1" customHeight="1">
      <c r="A48" s="59"/>
      <c r="B48" s="283" t="s">
        <v>351</v>
      </c>
      <c r="C48" s="33">
        <f>SUM(Grönkoefficient!I30,Grönkoefficient!I34)</f>
        <v>0</v>
      </c>
      <c r="D48" s="282" t="str">
        <f>IF(AND(C44&lt;=0,C48&gt;0),"- Määritä biosuodatusrakenteen viivytystilan keskisyvyys (Rajaukset: Kysymys 6)!","")</f>
        <v/>
      </c>
      <c r="E48" s="277"/>
      <c r="F48" s="34"/>
      <c r="G48" s="34"/>
      <c r="H48" s="295"/>
      <c r="I48" s="35"/>
      <c r="K48" s="18"/>
      <c r="L48" s="18"/>
      <c r="M48" s="18"/>
      <c r="N48" s="18"/>
      <c r="O48" s="18"/>
      <c r="U48" s="18"/>
      <c r="V48" s="51"/>
      <c r="W48" s="35"/>
      <c r="X48" s="35"/>
      <c r="Y48" s="35"/>
      <c r="Z48" s="35"/>
      <c r="AA48" s="18"/>
      <c r="AB48" s="18"/>
      <c r="AC48" s="63"/>
      <c r="AD48" s="63"/>
      <c r="AE48" s="64"/>
      <c r="AF48" s="18"/>
      <c r="AG48" s="18"/>
      <c r="AH48" s="18"/>
      <c r="AI48" s="18"/>
      <c r="AJ48" s="18"/>
      <c r="AK48" s="18"/>
      <c r="AL48" s="18"/>
      <c r="AM48" s="18"/>
    </row>
    <row r="49" spans="1:39" s="36" customFormat="1" ht="20.100000000000001" hidden="1" customHeight="1">
      <c r="A49" s="59"/>
      <c r="B49" s="284"/>
      <c r="C49" s="33"/>
      <c r="D49" s="282"/>
      <c r="E49" s="277"/>
      <c r="F49" s="34"/>
      <c r="G49" s="34"/>
      <c r="H49" s="295"/>
      <c r="I49" s="35"/>
      <c r="K49" s="18"/>
      <c r="L49" s="18"/>
      <c r="M49" s="18"/>
      <c r="N49" s="18"/>
      <c r="O49" s="18"/>
      <c r="U49" s="18"/>
      <c r="V49" s="51"/>
      <c r="W49" s="35"/>
      <c r="X49" s="35"/>
      <c r="Y49" s="35"/>
      <c r="Z49" s="35"/>
      <c r="AA49" s="18"/>
      <c r="AB49" s="18"/>
      <c r="AC49" s="63"/>
      <c r="AD49" s="63"/>
      <c r="AE49" s="64"/>
      <c r="AF49" s="18"/>
      <c r="AG49" s="18"/>
      <c r="AH49" s="18"/>
      <c r="AI49" s="18"/>
      <c r="AJ49" s="18"/>
      <c r="AK49" s="18"/>
      <c r="AL49" s="18"/>
      <c r="AM49" s="18"/>
    </row>
    <row r="50" spans="1:39" s="36" customFormat="1" ht="80.099999999999994" hidden="1" customHeight="1">
      <c r="A50" s="65"/>
      <c r="B50" s="285" t="s">
        <v>233</v>
      </c>
      <c r="C50" s="33"/>
      <c r="D50" s="37" t="str">
        <f>D43&amp;IF(D43&lt;&gt;"",CHAR(10),"")&amp;D44&amp;IF(D44&lt;&gt;"",CHAR(10),"")&amp;D47&amp;IF(D47&lt;&gt;"",CHAR(10),"")&amp;D48&amp;IF(D48&lt;&gt;"",CHAR(10),"")</f>
        <v/>
      </c>
      <c r="E50" s="286"/>
      <c r="F50" s="286"/>
      <c r="G50" s="286"/>
      <c r="H50" s="295"/>
      <c r="I50" s="35"/>
      <c r="K50" s="18"/>
      <c r="L50" s="18"/>
      <c r="M50" s="18"/>
      <c r="N50" s="18"/>
      <c r="O50" s="18"/>
      <c r="U50" s="18"/>
      <c r="V50" s="51"/>
      <c r="W50" s="35"/>
      <c r="X50" s="35"/>
      <c r="Y50" s="35"/>
      <c r="Z50" s="35"/>
      <c r="AA50" s="18"/>
      <c r="AB50" s="18"/>
      <c r="AC50" s="63"/>
      <c r="AD50" s="63"/>
      <c r="AE50" s="64"/>
      <c r="AF50" s="18"/>
      <c r="AG50" s="18"/>
      <c r="AH50" s="18"/>
      <c r="AI50" s="18"/>
      <c r="AJ50" s="18"/>
      <c r="AK50" s="18"/>
      <c r="AL50" s="18"/>
      <c r="AM50" s="18"/>
    </row>
    <row r="51" spans="1:39" s="36" customFormat="1" ht="20.100000000000001" hidden="1" customHeight="1">
      <c r="A51" s="65"/>
      <c r="B51" s="285"/>
      <c r="C51" s="33"/>
      <c r="D51" s="37"/>
      <c r="E51" s="37"/>
      <c r="F51" s="37"/>
      <c r="G51" s="37"/>
      <c r="H51" s="295"/>
      <c r="I51" s="35"/>
      <c r="K51" s="18"/>
      <c r="L51" s="18"/>
      <c r="M51" s="18"/>
      <c r="N51" s="18"/>
      <c r="O51" s="18"/>
      <c r="U51" s="18"/>
      <c r="V51" s="51"/>
      <c r="W51" s="35"/>
      <c r="X51" s="35"/>
      <c r="Y51" s="35"/>
      <c r="Z51" s="35"/>
      <c r="AA51" s="18"/>
      <c r="AB51" s="18"/>
      <c r="AC51" s="63"/>
      <c r="AD51" s="63"/>
      <c r="AE51" s="64"/>
      <c r="AF51" s="18"/>
      <c r="AG51" s="18"/>
      <c r="AH51" s="18"/>
      <c r="AI51" s="18"/>
      <c r="AJ51" s="18"/>
      <c r="AK51" s="18"/>
      <c r="AL51" s="18"/>
      <c r="AM51" s="18"/>
    </row>
    <row r="52" spans="1:39" s="36" customFormat="1" ht="71.099999999999994" hidden="1" customHeight="1">
      <c r="A52" s="65"/>
      <c r="B52" s="287" t="s">
        <v>234</v>
      </c>
      <c r="C52" s="741"/>
      <c r="D52" s="37" t="str">
        <f>D43&amp;IF(D43&lt;&gt;"",CHAR(10),"")&amp;D44&amp;IF(D44&lt;&gt;"",CHAR(10),"")&amp;D47&amp;IF(D47&lt;&gt;"",CHAR(10),"")&amp;D48&amp;IF(D48&lt;&gt;"",CHAR(10),"")</f>
        <v/>
      </c>
      <c r="E52" s="286"/>
      <c r="F52" s="286"/>
      <c r="G52" s="37"/>
      <c r="H52" s="295"/>
      <c r="I52" s="35"/>
      <c r="K52" s="18"/>
      <c r="L52" s="18"/>
      <c r="M52" s="18"/>
      <c r="N52" s="18"/>
      <c r="O52" s="18"/>
      <c r="U52" s="18"/>
      <c r="V52" s="51"/>
      <c r="W52" s="35"/>
      <c r="X52" s="35"/>
      <c r="Y52" s="35"/>
      <c r="Z52" s="35"/>
      <c r="AA52" s="18"/>
      <c r="AB52" s="18"/>
      <c r="AC52" s="63"/>
      <c r="AD52" s="63"/>
      <c r="AE52" s="64"/>
      <c r="AF52" s="18"/>
      <c r="AG52" s="18"/>
      <c r="AH52" s="18"/>
      <c r="AI52" s="18"/>
      <c r="AJ52" s="18"/>
      <c r="AK52" s="18"/>
      <c r="AL52" s="18"/>
      <c r="AM52" s="18"/>
    </row>
    <row r="53" spans="1:39" s="36" customFormat="1" ht="20.100000000000001" hidden="1" customHeight="1">
      <c r="A53" s="65"/>
      <c r="B53" s="71"/>
      <c r="C53" s="71"/>
      <c r="D53" s="279"/>
      <c r="E53" s="37"/>
      <c r="F53" s="37"/>
      <c r="G53" s="37"/>
      <c r="H53" s="295"/>
      <c r="I53" s="35"/>
      <c r="K53" s="18"/>
      <c r="L53" s="18"/>
      <c r="M53" s="18"/>
      <c r="N53" s="18"/>
      <c r="O53" s="18"/>
      <c r="U53" s="18"/>
      <c r="V53" s="51"/>
      <c r="W53" s="35"/>
      <c r="X53" s="35"/>
      <c r="Y53" s="35"/>
      <c r="Z53" s="35"/>
      <c r="AA53" s="18"/>
      <c r="AB53" s="18"/>
      <c r="AC53" s="63"/>
      <c r="AD53" s="63"/>
      <c r="AE53" s="64"/>
      <c r="AF53" s="18"/>
      <c r="AG53" s="18"/>
      <c r="AH53" s="18"/>
      <c r="AI53" s="18"/>
      <c r="AJ53" s="18"/>
      <c r="AK53" s="18"/>
      <c r="AL53" s="18"/>
      <c r="AM53" s="18"/>
    </row>
    <row r="54" spans="1:39" s="36" customFormat="1" ht="20.100000000000001" hidden="1" customHeight="1">
      <c r="A54" s="68"/>
      <c r="B54" s="288" t="s">
        <v>260</v>
      </c>
      <c r="C54" s="289" t="e">
        <f>Resultat!F18</f>
        <v>#DIV/0!</v>
      </c>
      <c r="D54" s="290" t="e">
        <f>IF(C54&gt;0,"- Osa hulevesistä jää viivyttämättä!","")</f>
        <v>#DIV/0!</v>
      </c>
      <c r="E54" s="272"/>
      <c r="F54" s="272"/>
      <c r="G54" s="272"/>
      <c r="H54" s="295"/>
      <c r="I54" s="35"/>
      <c r="J54" s="18"/>
      <c r="K54" s="18"/>
      <c r="L54" s="18"/>
      <c r="M54" s="18"/>
      <c r="N54" s="18"/>
      <c r="O54" s="18"/>
      <c r="U54" s="18"/>
      <c r="V54" s="51"/>
      <c r="W54" s="35"/>
      <c r="X54" s="35"/>
      <c r="Y54" s="35"/>
      <c r="Z54" s="35"/>
      <c r="AA54" s="18"/>
      <c r="AB54" s="18"/>
      <c r="AC54" s="63"/>
      <c r="AD54" s="63"/>
      <c r="AE54" s="64"/>
      <c r="AF54" s="18"/>
      <c r="AG54" s="18"/>
      <c r="AH54" s="18"/>
      <c r="AI54" s="18"/>
      <c r="AJ54" s="18"/>
      <c r="AK54" s="18"/>
      <c r="AL54" s="18"/>
      <c r="AM54" s="18"/>
    </row>
    <row r="55" spans="1:39" s="36" customFormat="1" ht="80.099999999999994" hidden="1" customHeight="1">
      <c r="A55" s="69"/>
      <c r="B55" s="39" t="s">
        <v>232</v>
      </c>
      <c r="C55" s="40"/>
      <c r="D55" s="41" t="e">
        <f>D54&amp;IF(D54&lt;&gt;"",CHAR(10),"")</f>
        <v>#DIV/0!</v>
      </c>
      <c r="E55" s="41"/>
      <c r="F55" s="41"/>
      <c r="G55" s="41"/>
      <c r="H55" s="296"/>
      <c r="I55" s="35"/>
      <c r="K55" s="18"/>
      <c r="L55" s="18"/>
      <c r="M55" s="18"/>
      <c r="N55" s="18"/>
      <c r="O55" s="18"/>
      <c r="U55" s="18"/>
      <c r="V55" s="51"/>
      <c r="W55" s="35"/>
      <c r="X55" s="35"/>
      <c r="Y55" s="35"/>
      <c r="Z55" s="35"/>
      <c r="AA55" s="18"/>
      <c r="AB55" s="18"/>
      <c r="AC55" s="63"/>
      <c r="AD55" s="63"/>
      <c r="AE55" s="64"/>
      <c r="AF55" s="18"/>
      <c r="AG55" s="18"/>
      <c r="AH55" s="18"/>
      <c r="AI55" s="18"/>
      <c r="AJ55" s="18"/>
      <c r="AK55" s="18"/>
      <c r="AL55" s="18"/>
      <c r="AM55" s="18"/>
    </row>
    <row r="56" spans="1:39" s="36" customFormat="1" ht="20.100000000000001" customHeight="1">
      <c r="A56" s="71"/>
      <c r="B56" s="18"/>
      <c r="C56" s="18"/>
      <c r="D56" s="18"/>
      <c r="E56" s="18"/>
      <c r="F56" s="18"/>
      <c r="G56" s="18"/>
      <c r="H56" s="18"/>
      <c r="I56" s="35"/>
      <c r="K56" s="18"/>
      <c r="L56" s="18"/>
      <c r="M56" s="18"/>
      <c r="N56" s="18"/>
      <c r="O56" s="18"/>
      <c r="U56" s="18"/>
      <c r="V56" s="54"/>
      <c r="W56" s="35"/>
      <c r="X56" s="35"/>
      <c r="Y56" s="35"/>
      <c r="Z56" s="35"/>
      <c r="AA56" s="18"/>
      <c r="AB56" s="18"/>
      <c r="AC56" s="66"/>
      <c r="AD56" s="66"/>
      <c r="AE56" s="45"/>
      <c r="AF56" s="18"/>
      <c r="AG56" s="18"/>
      <c r="AH56" s="18"/>
      <c r="AI56" s="18"/>
      <c r="AJ56" s="18"/>
      <c r="AK56" s="18"/>
      <c r="AL56" s="18"/>
      <c r="AM56" s="18"/>
    </row>
    <row r="57" spans="1:39" s="36" customFormat="1" ht="80.099999999999994" customHeight="1">
      <c r="B57" s="18"/>
      <c r="C57" s="18"/>
      <c r="D57" s="18"/>
      <c r="E57" s="18"/>
      <c r="F57" s="18"/>
      <c r="G57" s="18"/>
      <c r="H57" s="18"/>
      <c r="I57" s="35"/>
      <c r="K57" s="18"/>
      <c r="L57" s="18"/>
      <c r="M57" s="18"/>
      <c r="N57" s="18"/>
      <c r="O57" s="18"/>
      <c r="U57" s="18"/>
      <c r="V57" s="54"/>
      <c r="W57" s="35"/>
      <c r="X57" s="35"/>
      <c r="Y57" s="35"/>
      <c r="Z57" s="35"/>
      <c r="AA57" s="18"/>
      <c r="AB57" s="18"/>
      <c r="AC57" s="66"/>
      <c r="AD57" s="66"/>
      <c r="AE57" s="45"/>
      <c r="AF57" s="18"/>
      <c r="AG57" s="18"/>
      <c r="AH57" s="18"/>
      <c r="AI57" s="18"/>
      <c r="AJ57" s="18"/>
      <c r="AK57" s="18"/>
      <c r="AL57" s="18"/>
      <c r="AM57" s="18"/>
    </row>
    <row r="58" spans="1:39" s="36" customFormat="1" ht="80.099999999999994" customHeight="1">
      <c r="A58" s="34"/>
      <c r="B58" s="18"/>
      <c r="C58" s="18"/>
      <c r="D58" s="18"/>
      <c r="E58" s="18"/>
      <c r="F58" s="18"/>
      <c r="G58" s="18"/>
      <c r="H58" s="18"/>
      <c r="I58" s="35"/>
      <c r="J58" s="36" t="s">
        <v>278</v>
      </c>
      <c r="K58" s="18"/>
      <c r="L58" s="18"/>
      <c r="M58" s="18"/>
      <c r="N58" s="18"/>
      <c r="O58" s="18"/>
      <c r="U58" s="18"/>
      <c r="AA58" s="18"/>
      <c r="AB58" s="18"/>
      <c r="AC58" s="67"/>
      <c r="AD58" s="67"/>
      <c r="AE58" s="22"/>
      <c r="AF58" s="22"/>
      <c r="AG58" s="22"/>
      <c r="AH58" s="22"/>
      <c r="AI58" s="22"/>
      <c r="AJ58" s="22"/>
      <c r="AK58" s="18"/>
      <c r="AL58" s="18"/>
      <c r="AM58" s="18"/>
    </row>
    <row r="59" spans="1:39" s="36" customFormat="1" ht="80.099999999999994" customHeight="1">
      <c r="A59" s="71"/>
      <c r="B59" s="18"/>
      <c r="C59" s="18"/>
      <c r="D59" s="18"/>
      <c r="E59" s="18"/>
      <c r="F59" s="18"/>
      <c r="G59" s="18"/>
      <c r="H59" s="38"/>
      <c r="I59" s="35"/>
      <c r="K59" s="18"/>
      <c r="L59" s="18"/>
      <c r="M59" s="18"/>
      <c r="N59" s="18"/>
      <c r="O59" s="18"/>
      <c r="U59" s="18"/>
      <c r="AA59" s="18"/>
      <c r="AB59" s="18"/>
      <c r="AC59" s="67"/>
      <c r="AD59" s="67"/>
      <c r="AE59" s="22"/>
      <c r="AF59" s="22"/>
      <c r="AG59" s="22"/>
      <c r="AH59" s="22"/>
      <c r="AI59" s="22"/>
      <c r="AJ59" s="22"/>
      <c r="AK59" s="18"/>
      <c r="AL59" s="18"/>
      <c r="AM59" s="18"/>
    </row>
    <row r="60" spans="1:39" s="36" customFormat="1" ht="14.45" customHeight="1">
      <c r="A60" s="71"/>
      <c r="B60" s="18"/>
      <c r="C60" s="18"/>
      <c r="D60" s="18"/>
      <c r="E60" s="18"/>
      <c r="F60" s="18"/>
      <c r="G60" s="18"/>
      <c r="H60" s="37"/>
      <c r="I60" s="38"/>
      <c r="K60" s="18"/>
      <c r="L60" s="18"/>
      <c r="M60" s="18"/>
      <c r="N60" s="18"/>
      <c r="O60" s="18"/>
      <c r="U60" s="18"/>
      <c r="AA60" s="18"/>
      <c r="AB60" s="18"/>
      <c r="AC60" s="67"/>
      <c r="AD60" s="67"/>
      <c r="AE60" s="22"/>
      <c r="AF60" s="22"/>
      <c r="AG60" s="22"/>
      <c r="AH60" s="22"/>
      <c r="AI60" s="22"/>
      <c r="AJ60" s="22"/>
      <c r="AK60" s="18"/>
      <c r="AL60" s="18"/>
      <c r="AM60" s="18"/>
    </row>
    <row r="61" spans="1:39" s="20" customFormat="1" ht="14.45" customHeight="1">
      <c r="A61" s="36"/>
      <c r="B61" s="18"/>
      <c r="C61" s="18"/>
      <c r="D61" s="18"/>
      <c r="E61" s="18"/>
      <c r="F61" s="18"/>
      <c r="G61" s="18"/>
      <c r="H61" s="18"/>
      <c r="I61" s="35"/>
      <c r="AC61" s="70"/>
      <c r="AD61" s="70"/>
      <c r="AE61" s="70"/>
      <c r="AF61" s="70"/>
      <c r="AG61" s="70"/>
      <c r="AH61" s="70"/>
      <c r="AI61" s="70"/>
      <c r="AJ61" s="70"/>
    </row>
    <row r="62" spans="1:39" s="20" customFormat="1" ht="14.45" customHeight="1">
      <c r="A62" s="18"/>
      <c r="B62" s="18"/>
      <c r="C62" s="18"/>
      <c r="D62" s="18"/>
      <c r="E62" s="18"/>
      <c r="F62" s="18"/>
      <c r="G62" s="18"/>
      <c r="H62" s="18"/>
      <c r="I62" s="35"/>
      <c r="AC62" s="70"/>
      <c r="AD62" s="70"/>
      <c r="AE62" s="70"/>
      <c r="AF62" s="70"/>
      <c r="AG62" s="70"/>
      <c r="AH62" s="70"/>
      <c r="AI62" s="70"/>
      <c r="AJ62" s="70"/>
    </row>
    <row r="63" spans="1:39" ht="14.45" customHeight="1">
      <c r="I63" s="36"/>
    </row>
    <row r="64" spans="1:39" s="36" customFormat="1" ht="14.45" customHeight="1">
      <c r="A64" s="18"/>
      <c r="B64" s="18"/>
      <c r="C64" s="18"/>
      <c r="D64" s="18"/>
      <c r="E64" s="18"/>
      <c r="F64" s="18"/>
      <c r="G64" s="18"/>
      <c r="H64" s="18"/>
      <c r="K64" s="18"/>
      <c r="L64" s="18"/>
      <c r="M64" s="18"/>
      <c r="N64" s="18"/>
      <c r="O64" s="18"/>
      <c r="U64" s="18"/>
      <c r="V64" s="18"/>
      <c r="W64" s="18"/>
      <c r="X64" s="18"/>
      <c r="Y64" s="18"/>
      <c r="Z64" s="18"/>
      <c r="AA64" s="18"/>
      <c r="AB64" s="18"/>
      <c r="AC64" s="67"/>
      <c r="AD64" s="67"/>
      <c r="AE64" s="22"/>
      <c r="AF64" s="22"/>
      <c r="AG64" s="22"/>
      <c r="AH64" s="22"/>
      <c r="AI64" s="22"/>
      <c r="AJ64" s="22"/>
      <c r="AK64" s="18"/>
      <c r="AL64" s="18"/>
      <c r="AM64" s="18"/>
    </row>
    <row r="65" spans="1:39" s="36" customFormat="1" ht="14.45" customHeight="1">
      <c r="A65" s="18"/>
      <c r="B65" s="18"/>
      <c r="C65" s="18"/>
      <c r="D65" s="18"/>
      <c r="E65" s="18"/>
      <c r="F65" s="18"/>
      <c r="G65" s="18"/>
      <c r="H65" s="18"/>
      <c r="K65" s="18"/>
      <c r="L65" s="18"/>
      <c r="M65" s="18"/>
      <c r="N65" s="18"/>
      <c r="O65" s="18"/>
      <c r="U65" s="18"/>
      <c r="V65" s="18"/>
      <c r="W65" s="18"/>
      <c r="X65" s="18"/>
      <c r="Y65" s="18"/>
      <c r="Z65" s="18"/>
      <c r="AA65" s="18"/>
      <c r="AB65" s="18"/>
      <c r="AC65" s="67"/>
      <c r="AD65" s="67"/>
      <c r="AE65" s="22"/>
      <c r="AF65" s="22"/>
      <c r="AG65" s="22"/>
      <c r="AH65" s="22"/>
      <c r="AI65" s="22"/>
      <c r="AJ65" s="22"/>
      <c r="AK65" s="18"/>
      <c r="AL65" s="18"/>
      <c r="AM65" s="18"/>
    </row>
    <row r="66" spans="1:39" s="36" customFormat="1" ht="14.45" customHeight="1">
      <c r="A66" s="18"/>
      <c r="B66" s="18"/>
      <c r="C66" s="18"/>
      <c r="D66" s="18"/>
      <c r="E66" s="18"/>
      <c r="F66" s="18"/>
      <c r="G66" s="18"/>
      <c r="H66" s="18"/>
      <c r="K66" s="18"/>
      <c r="L66" s="18"/>
      <c r="M66" s="18"/>
      <c r="N66" s="18"/>
      <c r="O66" s="18"/>
      <c r="U66" s="18"/>
      <c r="V66" s="18"/>
      <c r="W66" s="18"/>
      <c r="X66" s="18"/>
      <c r="Y66" s="18"/>
      <c r="Z66" s="18"/>
      <c r="AA66" s="18"/>
      <c r="AB66" s="18"/>
      <c r="AC66" s="67"/>
      <c r="AD66" s="67"/>
      <c r="AE66" s="22"/>
      <c r="AF66" s="22"/>
      <c r="AG66" s="22"/>
      <c r="AH66" s="22"/>
      <c r="AI66" s="22"/>
      <c r="AJ66" s="22"/>
      <c r="AK66" s="18"/>
      <c r="AL66" s="45"/>
      <c r="AM66" s="18"/>
    </row>
    <row r="67" spans="1:39" s="36" customFormat="1" ht="14.45" customHeight="1">
      <c r="A67" s="18"/>
      <c r="B67" s="18"/>
      <c r="C67" s="18"/>
      <c r="D67" s="18"/>
      <c r="E67" s="18"/>
      <c r="F67" s="18"/>
      <c r="G67" s="18"/>
      <c r="H67" s="18"/>
      <c r="I67" s="22"/>
      <c r="K67" s="18"/>
      <c r="L67" s="18"/>
      <c r="M67" s="18"/>
      <c r="N67" s="18"/>
      <c r="O67" s="18"/>
      <c r="U67" s="18"/>
      <c r="V67" s="18"/>
      <c r="W67" s="18"/>
      <c r="X67" s="18"/>
      <c r="Y67" s="18"/>
      <c r="Z67" s="18"/>
      <c r="AA67" s="18"/>
      <c r="AB67" s="18"/>
      <c r="AC67" s="67"/>
      <c r="AD67" s="67"/>
      <c r="AE67" s="22"/>
      <c r="AF67" s="22"/>
      <c r="AG67" s="22"/>
      <c r="AH67" s="22"/>
      <c r="AI67" s="22"/>
      <c r="AJ67" s="22"/>
      <c r="AK67" s="18"/>
      <c r="AL67" s="18"/>
      <c r="AM67" s="18"/>
    </row>
    <row r="68" spans="1:39" s="36" customFormat="1" ht="14.45" customHeight="1">
      <c r="A68" s="18"/>
      <c r="B68" s="18"/>
      <c r="C68" s="18"/>
      <c r="D68" s="18"/>
      <c r="E68" s="18"/>
      <c r="F68" s="18"/>
      <c r="G68" s="18"/>
      <c r="H68" s="18"/>
      <c r="I68" s="22"/>
      <c r="K68" s="18"/>
      <c r="L68" s="18"/>
      <c r="M68" s="18"/>
      <c r="N68" s="18"/>
      <c r="O68" s="18"/>
      <c r="AC68" s="67"/>
      <c r="AD68" s="67"/>
      <c r="AE68" s="22"/>
      <c r="AF68" s="22"/>
      <c r="AG68" s="22"/>
      <c r="AH68" s="22"/>
      <c r="AI68" s="22"/>
      <c r="AJ68" s="22"/>
      <c r="AK68" s="18"/>
      <c r="AL68" s="18"/>
      <c r="AM68" s="18"/>
    </row>
    <row r="69" spans="1:39" ht="14.45" customHeight="1">
      <c r="I69" s="22"/>
      <c r="AC69" s="22"/>
      <c r="AD69" s="22"/>
      <c r="AE69" s="22"/>
      <c r="AF69" s="22"/>
      <c r="AG69" s="22"/>
      <c r="AH69" s="22"/>
      <c r="AI69" s="22"/>
      <c r="AJ69" s="22"/>
    </row>
    <row r="70" spans="1:39" ht="14.45" customHeight="1">
      <c r="AC70" s="22"/>
      <c r="AD70" s="22"/>
      <c r="AE70" s="22"/>
      <c r="AF70" s="22"/>
      <c r="AG70" s="22"/>
      <c r="AH70" s="22"/>
      <c r="AI70" s="22"/>
      <c r="AJ70" s="22"/>
    </row>
    <row r="71" spans="1:39" ht="14.45" customHeight="1">
      <c r="J71" s="35"/>
    </row>
    <row r="72" spans="1:39" ht="14.45" customHeight="1">
      <c r="J72" s="35"/>
    </row>
    <row r="73" spans="1:39" ht="14.45" customHeight="1">
      <c r="J73" s="35"/>
    </row>
    <row r="74" spans="1:39" ht="14.45" customHeight="1">
      <c r="J74" s="35"/>
    </row>
    <row r="75" spans="1:39" ht="14.45" customHeight="1">
      <c r="J75" s="36"/>
    </row>
    <row r="76" spans="1:39" ht="14.45" customHeight="1">
      <c r="J76" s="36"/>
    </row>
    <row r="77" spans="1:39" ht="14.45" customHeight="1">
      <c r="J77" s="36"/>
    </row>
    <row r="78" spans="1:39" ht="14.45" customHeight="1">
      <c r="J78" s="36"/>
    </row>
    <row r="79" spans="1:39">
      <c r="J79" s="35"/>
    </row>
    <row r="80" spans="1:39">
      <c r="J80" s="35"/>
    </row>
    <row r="81" spans="10:10">
      <c r="J81" s="35"/>
    </row>
    <row r="82" spans="10:10">
      <c r="J82" s="35"/>
    </row>
    <row r="83" spans="10:10">
      <c r="J83" s="22"/>
    </row>
    <row r="84" spans="10:10">
      <c r="J84" s="22"/>
    </row>
    <row r="85" spans="10:10">
      <c r="J85" s="22"/>
    </row>
  </sheetData>
  <sheetProtection algorithmName="SHA-512" hashValue="y8i/tgJAQ5HAoDupBk3MbJq1PswXVxqia3Ads/vc1xNEpR38ofo9IuVbsnVCelPDsPIiJFoJMKVwaiwxupOnTw==" saltValue="pru5xbZZujGG0Mak38mY+w==" spinCount="100000" sheet="1" objects="1" scenarios="1"/>
  <customSheetViews>
    <customSheetView guid="{C0826E8D-7112-6B45-A18A-1E6622F31D95}" scale="130" topLeftCell="A15">
      <selection activeCell="D18" sqref="D18:G18"/>
      <pageMargins left="0.7" right="0.7" top="0.75" bottom="0.75" header="0.3" footer="0.3"/>
      <pageSetup paperSize="9" orientation="portrait" horizontalDpi="4294967293" r:id="rId1"/>
    </customSheetView>
  </customSheetViews>
  <mergeCells count="19">
    <mergeCell ref="AG8:AH8"/>
    <mergeCell ref="D17:G17"/>
    <mergeCell ref="D18:G18"/>
    <mergeCell ref="D14:G14"/>
    <mergeCell ref="D12:G12"/>
    <mergeCell ref="D8:F9"/>
    <mergeCell ref="D13:G13"/>
    <mergeCell ref="J23:J33"/>
    <mergeCell ref="J21:J22"/>
    <mergeCell ref="B32:C32"/>
    <mergeCell ref="C8:C9"/>
    <mergeCell ref="B8:B9"/>
    <mergeCell ref="H8:H9"/>
    <mergeCell ref="D11:G11"/>
    <mergeCell ref="D16:G16"/>
    <mergeCell ref="B17:B18"/>
    <mergeCell ref="C10:C15"/>
    <mergeCell ref="B10:B15"/>
    <mergeCell ref="B21:H22"/>
  </mergeCells>
  <hyperlinks>
    <hyperlink ref="J6" location="'Anvisningar'!A1" display="Ohjeet" xr:uid="{BD241405-09F0-3D4A-8178-DACA4B6F5738}"/>
    <hyperlink ref="J35" location="'Grönkoefficient'!A1" display="Seuraava" xr:uid="{A2AB4D7D-A3A4-A241-A435-34B9A2850A1F}"/>
  </hyperlinks>
  <pageMargins left="0.7" right="0.7" top="0.75" bottom="0.75" header="0.3" footer="0.3"/>
  <pageSetup paperSize="9" orientation="portrait" horizontalDpi="4294967293" r:id="rId2"/>
  <drawing r:id="rId3"/>
  <legacyDrawing r:id="rId4"/>
  <mc:AlternateContent xmlns:mc="http://schemas.openxmlformats.org/markup-compatibility/2006">
    <mc:Choice Requires="x14">
      <controls>
        <mc:AlternateContent xmlns:mc="http://schemas.openxmlformats.org/markup-compatibility/2006">
          <mc:Choice Requires="x14">
            <control shapeId="3140" r:id="rId5" name="Option Button 68">
              <controlPr defaultSize="0" autoFill="0" autoLine="0" autoPict="0">
                <anchor moveWithCells="1">
                  <from>
                    <xdr:col>7</xdr:col>
                    <xdr:colOff>447675</xdr:colOff>
                    <xdr:row>9</xdr:row>
                    <xdr:rowOff>28575</xdr:rowOff>
                  </from>
                  <to>
                    <xdr:col>7</xdr:col>
                    <xdr:colOff>685800</xdr:colOff>
                    <xdr:row>9</xdr:row>
                    <xdr:rowOff>352425</xdr:rowOff>
                  </to>
                </anchor>
              </controlPr>
            </control>
          </mc:Choice>
        </mc:AlternateContent>
        <mc:AlternateContent xmlns:mc="http://schemas.openxmlformats.org/markup-compatibility/2006">
          <mc:Choice Requires="x14">
            <control shapeId="3141" r:id="rId6" name="Option Button 69">
              <controlPr defaultSize="0" autoFill="0" autoLine="0" autoPict="0">
                <anchor moveWithCells="1">
                  <from>
                    <xdr:col>7</xdr:col>
                    <xdr:colOff>447675</xdr:colOff>
                    <xdr:row>10</xdr:row>
                    <xdr:rowOff>28575</xdr:rowOff>
                  </from>
                  <to>
                    <xdr:col>7</xdr:col>
                    <xdr:colOff>714375</xdr:colOff>
                    <xdr:row>10</xdr:row>
                    <xdr:rowOff>352425</xdr:rowOff>
                  </to>
                </anchor>
              </controlPr>
            </control>
          </mc:Choice>
        </mc:AlternateContent>
        <mc:AlternateContent xmlns:mc="http://schemas.openxmlformats.org/markup-compatibility/2006">
          <mc:Choice Requires="x14">
            <control shapeId="3142" r:id="rId7" name="Option Button 70">
              <controlPr defaultSize="0" autoFill="0" autoLine="0" autoPict="0">
                <anchor moveWithCells="1">
                  <from>
                    <xdr:col>7</xdr:col>
                    <xdr:colOff>447675</xdr:colOff>
                    <xdr:row>11</xdr:row>
                    <xdr:rowOff>28575</xdr:rowOff>
                  </from>
                  <to>
                    <xdr:col>7</xdr:col>
                    <xdr:colOff>695325</xdr:colOff>
                    <xdr:row>11</xdr:row>
                    <xdr:rowOff>352425</xdr:rowOff>
                  </to>
                </anchor>
              </controlPr>
            </control>
          </mc:Choice>
        </mc:AlternateContent>
        <mc:AlternateContent xmlns:mc="http://schemas.openxmlformats.org/markup-compatibility/2006">
          <mc:Choice Requires="x14">
            <control shapeId="3143" r:id="rId8" name="Option Button 71">
              <controlPr defaultSize="0" autoFill="0" autoLine="0" autoPict="0">
                <anchor moveWithCells="1">
                  <from>
                    <xdr:col>7</xdr:col>
                    <xdr:colOff>447675</xdr:colOff>
                    <xdr:row>12</xdr:row>
                    <xdr:rowOff>28575</xdr:rowOff>
                  </from>
                  <to>
                    <xdr:col>7</xdr:col>
                    <xdr:colOff>685800</xdr:colOff>
                    <xdr:row>12</xdr:row>
                    <xdr:rowOff>352425</xdr:rowOff>
                  </to>
                </anchor>
              </controlPr>
            </control>
          </mc:Choice>
        </mc:AlternateContent>
        <mc:AlternateContent xmlns:mc="http://schemas.openxmlformats.org/markup-compatibility/2006">
          <mc:Choice Requires="x14">
            <control shapeId="3152" r:id="rId9" name="Group Box 80">
              <controlPr defaultSize="0" autoFill="0" autoPict="0">
                <anchor moveWithCells="1">
                  <from>
                    <xdr:col>7</xdr:col>
                    <xdr:colOff>0</xdr:colOff>
                    <xdr:row>15</xdr:row>
                    <xdr:rowOff>0</xdr:rowOff>
                  </from>
                  <to>
                    <xdr:col>8</xdr:col>
                    <xdr:colOff>0</xdr:colOff>
                    <xdr:row>15</xdr:row>
                    <xdr:rowOff>371475</xdr:rowOff>
                  </to>
                </anchor>
              </controlPr>
            </control>
          </mc:Choice>
        </mc:AlternateContent>
        <mc:AlternateContent xmlns:mc="http://schemas.openxmlformats.org/markup-compatibility/2006">
          <mc:Choice Requires="x14">
            <control shapeId="3145" r:id="rId10" name="Group Box 73">
              <controlPr defaultSize="0" autoFill="0" autoPict="0">
                <anchor moveWithCells="1">
                  <from>
                    <xdr:col>6</xdr:col>
                    <xdr:colOff>447675</xdr:colOff>
                    <xdr:row>9</xdr:row>
                    <xdr:rowOff>9525</xdr:rowOff>
                  </from>
                  <to>
                    <xdr:col>8</xdr:col>
                    <xdr:colOff>0</xdr:colOff>
                    <xdr:row>14</xdr:row>
                    <xdr:rowOff>371475</xdr:rowOff>
                  </to>
                </anchor>
              </controlPr>
            </control>
          </mc:Choice>
        </mc:AlternateContent>
        <mc:AlternateContent xmlns:mc="http://schemas.openxmlformats.org/markup-compatibility/2006">
          <mc:Choice Requires="x14">
            <control shapeId="3153" r:id="rId11" name="Option Button 81">
              <controlPr defaultSize="0" autoFill="0" autoLine="0" autoPict="0">
                <anchor moveWithCells="1">
                  <from>
                    <xdr:col>7</xdr:col>
                    <xdr:colOff>447675</xdr:colOff>
                    <xdr:row>13</xdr:row>
                    <xdr:rowOff>28575</xdr:rowOff>
                  </from>
                  <to>
                    <xdr:col>7</xdr:col>
                    <xdr:colOff>685800</xdr:colOff>
                    <xdr:row>13</xdr:row>
                    <xdr:rowOff>352425</xdr:rowOff>
                  </to>
                </anchor>
              </controlPr>
            </control>
          </mc:Choice>
        </mc:AlternateContent>
        <mc:AlternateContent xmlns:mc="http://schemas.openxmlformats.org/markup-compatibility/2006">
          <mc:Choice Requires="x14">
            <control shapeId="3154" r:id="rId12" name="Option Button 82">
              <controlPr defaultSize="0" autoFill="0" autoLine="0" autoPict="0">
                <anchor moveWithCells="1">
                  <from>
                    <xdr:col>7</xdr:col>
                    <xdr:colOff>447675</xdr:colOff>
                    <xdr:row>14</xdr:row>
                    <xdr:rowOff>28575</xdr:rowOff>
                  </from>
                  <to>
                    <xdr:col>7</xdr:col>
                    <xdr:colOff>714375</xdr:colOff>
                    <xdr:row>14</xdr:row>
                    <xdr:rowOff>352425</xdr:rowOff>
                  </to>
                </anchor>
              </controlPr>
            </control>
          </mc:Choice>
        </mc:AlternateContent>
      </controls>
    </mc:Choice>
  </mc:AlternateContent>
  <extLst>
    <ext xmlns:x14="http://schemas.microsoft.com/office/spreadsheetml/2009/9/main" uri="{CCE6A557-97BC-4b89-ADB6-D9C93CAAB3DF}">
      <x14:dataValidations xmlns:xm="http://schemas.microsoft.com/office/excel/2006/main" disablePrompts="1" xWindow="1113" yWindow="705" count="3">
        <x14:dataValidation type="list" allowBlank="1" showInputMessage="1" showErrorMessage="1" prompt="Valitse yksi pudotusvalikon vaihtoehdoista." xr:uid="{BAE213E7-C497-45A5-A8CF-758934FE6A39}">
          <x14:formula1>
            <xm:f>Kelpoisuusehdot!$C$2:$C$6</xm:f>
          </x14:formula1>
          <xm:sqref>H16</xm:sqref>
        </x14:dataValidation>
        <x14:dataValidation type="list" allowBlank="1" showInputMessage="1" showErrorMessage="1" prompt="Valitse yksi pudotusvalikon vaihtoehdoista." xr:uid="{80741E8A-E2BC-4DBA-BB2D-CAA393FD8E18}">
          <x14:formula1>
            <xm:f>Kelpoisuusehdot!$B$2:$B$17</xm:f>
          </x14:formula1>
          <xm:sqref>H18</xm:sqref>
        </x14:dataValidation>
        <x14:dataValidation type="list" allowBlank="1" showInputMessage="1" showErrorMessage="1" prompt="Valitse yksi pudotusvalikon vaihtoehdoista." xr:uid="{3643C6CB-CAC0-4860-9256-3477800547FC}">
          <x14:formula1>
            <xm:f>Kelpoisuusehdot!$A$2:$A$18</xm:f>
          </x14:formula1>
          <xm:sqref>H17</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A6D9C4"/>
    <pageSetUpPr fitToPage="1"/>
  </sheetPr>
  <dimension ref="B1:AD53"/>
  <sheetViews>
    <sheetView tabSelected="1" zoomScaleNormal="100" workbookViewId="0">
      <selection activeCell="I3" sqref="I3"/>
    </sheetView>
  </sheetViews>
  <sheetFormatPr defaultColWidth="9.140625" defaultRowHeight="14.25"/>
  <cols>
    <col min="1" max="1" width="3.28515625" style="74" customWidth="1"/>
    <col min="2" max="2" width="45.85546875" style="74" customWidth="1"/>
    <col min="3" max="3" width="5.85546875" style="74" customWidth="1"/>
    <col min="4" max="4" width="17" style="74" customWidth="1"/>
    <col min="5" max="5" width="5.85546875" style="74" customWidth="1"/>
    <col min="6" max="6" width="30.85546875" style="74" customWidth="1"/>
    <col min="7" max="7" width="100.85546875" style="74" customWidth="1"/>
    <col min="8" max="8" width="10.85546875" style="74" customWidth="1"/>
    <col min="9" max="10" width="15.85546875" style="74" customWidth="1"/>
    <col min="11" max="11" width="13.7109375" style="20" hidden="1" customWidth="1"/>
    <col min="12" max="13" width="15.85546875" style="18" customWidth="1"/>
    <col min="14" max="14" width="5.28515625" style="18" customWidth="1"/>
    <col min="15" max="15" width="104.140625" style="18" bestFit="1" customWidth="1"/>
    <col min="16" max="16" width="11.140625" style="18" customWidth="1"/>
    <col min="17" max="17" width="10.42578125" style="18" customWidth="1"/>
    <col min="18" max="18" width="9.42578125" style="18" customWidth="1"/>
    <col min="19" max="19" width="15.85546875" style="74" hidden="1" customWidth="1"/>
    <col min="20" max="20" width="20.85546875" style="74" hidden="1" customWidth="1"/>
    <col min="21" max="26" width="15.85546875" style="74" hidden="1" customWidth="1"/>
    <col min="27" max="28" width="10.85546875" style="74" hidden="1" customWidth="1"/>
    <col min="29" max="30" width="15.85546875" style="74" hidden="1" customWidth="1"/>
    <col min="31" max="32" width="9.140625" style="74" customWidth="1"/>
    <col min="33" max="16384" width="9.140625" style="74"/>
  </cols>
  <sheetData>
    <row r="1" spans="2:30" ht="20.100000000000001" customHeight="1" thickBot="1"/>
    <row r="2" spans="2:30" ht="60" customHeight="1" thickBot="1">
      <c r="B2" s="310" t="s">
        <v>3</v>
      </c>
      <c r="C2" s="305"/>
      <c r="D2" s="770" t="s">
        <v>107</v>
      </c>
      <c r="E2" s="771"/>
      <c r="F2" s="320" t="s">
        <v>158</v>
      </c>
      <c r="G2" s="306"/>
      <c r="H2" s="308" t="s">
        <v>151</v>
      </c>
      <c r="I2" s="314" t="s">
        <v>359</v>
      </c>
      <c r="J2" s="307" t="s">
        <v>0</v>
      </c>
      <c r="K2" s="334" t="s">
        <v>172</v>
      </c>
      <c r="L2" s="309" t="s">
        <v>150</v>
      </c>
      <c r="M2" s="319" t="s">
        <v>187</v>
      </c>
      <c r="N2" s="73"/>
      <c r="O2" s="73"/>
      <c r="P2" s="73"/>
      <c r="Q2" s="73"/>
      <c r="R2" s="73"/>
      <c r="S2" s="175" t="s">
        <v>343</v>
      </c>
      <c r="T2" s="176" t="s">
        <v>344</v>
      </c>
      <c r="U2" s="176" t="s">
        <v>345</v>
      </c>
      <c r="V2" s="176" t="s">
        <v>346</v>
      </c>
      <c r="W2" s="176" t="s">
        <v>630</v>
      </c>
      <c r="X2" s="176" t="s">
        <v>631</v>
      </c>
      <c r="Y2" s="176" t="s">
        <v>632</v>
      </c>
      <c r="Z2" s="176" t="s">
        <v>633</v>
      </c>
      <c r="AA2" s="176"/>
      <c r="AB2" s="176"/>
      <c r="AC2" s="176" t="s">
        <v>177</v>
      </c>
      <c r="AD2" s="177" t="s">
        <v>178</v>
      </c>
    </row>
    <row r="3" spans="2:30" ht="30" customHeight="1">
      <c r="B3" s="311" t="str">
        <f>IF(B7=0,"Täytä rajaukset ensin!",B9/B7)</f>
        <v>Täytä rajaukset ensin!</v>
      </c>
      <c r="C3" s="75"/>
      <c r="D3" s="780" t="s">
        <v>54</v>
      </c>
      <c r="E3" s="799" t="s">
        <v>252</v>
      </c>
      <c r="F3" s="796" t="s">
        <v>466</v>
      </c>
      <c r="G3" s="597" t="s">
        <v>566</v>
      </c>
      <c r="H3" s="476" t="s">
        <v>153</v>
      </c>
      <c r="I3" s="324"/>
      <c r="J3" s="477">
        <f>Painokertoimet!M2</f>
        <v>3.4673611111111109</v>
      </c>
      <c r="K3" s="478">
        <f>I3*25</f>
        <v>0</v>
      </c>
      <c r="L3" s="329">
        <f>I3*25*J3</f>
        <v>0</v>
      </c>
      <c r="M3" s="585">
        <v>0.1</v>
      </c>
      <c r="N3" s="76"/>
      <c r="O3" s="95" t="s">
        <v>594</v>
      </c>
      <c r="P3" s="244"/>
      <c r="Q3" s="76"/>
      <c r="R3" s="76"/>
      <c r="S3" s="77"/>
      <c r="T3" s="78"/>
      <c r="U3" s="79">
        <f>K3</f>
        <v>0</v>
      </c>
      <c r="V3" s="78"/>
      <c r="W3" s="74">
        <f>S3*M3</f>
        <v>0</v>
      </c>
      <c r="X3" s="74">
        <f t="shared" ref="X3:X7" si="0">T3*M3</f>
        <v>0</v>
      </c>
      <c r="Y3" s="74">
        <f t="shared" ref="Y3:Y7" si="1">U3*M3</f>
        <v>0</v>
      </c>
      <c r="Z3" s="74">
        <f t="shared" ref="Z3:Z7" si="2">V3*M3</f>
        <v>0</v>
      </c>
      <c r="AC3" s="74">
        <f t="shared" ref="AC3:AC7" si="3">K3*M3</f>
        <v>0</v>
      </c>
      <c r="AD3" s="80"/>
    </row>
    <row r="4" spans="2:30" ht="30" customHeight="1">
      <c r="B4" s="313" t="s">
        <v>634</v>
      </c>
      <c r="C4" s="81"/>
      <c r="D4" s="782"/>
      <c r="E4" s="800"/>
      <c r="F4" s="797"/>
      <c r="G4" s="598" t="s">
        <v>567</v>
      </c>
      <c r="H4" s="476" t="s">
        <v>635</v>
      </c>
      <c r="I4" s="324"/>
      <c r="J4" s="329">
        <f>Painokertoimet!M3</f>
        <v>3.1235416666666662</v>
      </c>
      <c r="K4" s="478">
        <f>I4*25</f>
        <v>0</v>
      </c>
      <c r="L4" s="329">
        <f>I4*25*J4</f>
        <v>0</v>
      </c>
      <c r="M4" s="585">
        <v>0.1</v>
      </c>
      <c r="N4" s="76"/>
      <c r="O4" s="95" t="s">
        <v>595</v>
      </c>
      <c r="P4" s="76"/>
      <c r="Q4" s="76"/>
      <c r="R4" s="76"/>
      <c r="S4" s="77"/>
      <c r="T4" s="78"/>
      <c r="U4" s="79">
        <f>K4</f>
        <v>0</v>
      </c>
      <c r="V4" s="78"/>
      <c r="W4" s="74">
        <f t="shared" ref="W4:W7" si="4">S4*M4</f>
        <v>0</v>
      </c>
      <c r="X4" s="74">
        <f t="shared" si="0"/>
        <v>0</v>
      </c>
      <c r="Y4" s="74">
        <f t="shared" si="1"/>
        <v>0</v>
      </c>
      <c r="Z4" s="74">
        <f t="shared" si="2"/>
        <v>0</v>
      </c>
      <c r="AC4" s="74">
        <f>K4*M4</f>
        <v>0</v>
      </c>
      <c r="AD4" s="80"/>
    </row>
    <row r="5" spans="2:30" ht="30" customHeight="1">
      <c r="B5" s="312">
        <f ca="1">Avgränsningar!J9</f>
        <v>1.2</v>
      </c>
      <c r="C5" s="82"/>
      <c r="D5" s="782"/>
      <c r="E5" s="800"/>
      <c r="F5" s="797"/>
      <c r="G5" s="598" t="s">
        <v>568</v>
      </c>
      <c r="H5" s="476" t="s">
        <v>636</v>
      </c>
      <c r="I5" s="324"/>
      <c r="J5" s="329">
        <f>Painokertoimet!M4</f>
        <v>3.0322916666666666</v>
      </c>
      <c r="K5" s="478">
        <f>I5*15</f>
        <v>0</v>
      </c>
      <c r="L5" s="329">
        <f>I5*15*J5</f>
        <v>0</v>
      </c>
      <c r="M5" s="585">
        <v>0.1</v>
      </c>
      <c r="N5" s="76"/>
      <c r="O5" s="95" t="s">
        <v>564</v>
      </c>
      <c r="P5" s="76"/>
      <c r="Q5" s="76"/>
      <c r="R5" s="76"/>
      <c r="S5" s="77"/>
      <c r="T5" s="78"/>
      <c r="U5" s="79">
        <f>K5</f>
        <v>0</v>
      </c>
      <c r="V5" s="78"/>
      <c r="W5" s="74">
        <f t="shared" si="4"/>
        <v>0</v>
      </c>
      <c r="X5" s="74">
        <f t="shared" si="0"/>
        <v>0</v>
      </c>
      <c r="Y5" s="74">
        <f t="shared" si="1"/>
        <v>0</v>
      </c>
      <c r="Z5" s="74">
        <f t="shared" si="2"/>
        <v>0</v>
      </c>
      <c r="AC5" s="74">
        <f t="shared" si="3"/>
        <v>0</v>
      </c>
      <c r="AD5" s="80"/>
    </row>
    <row r="6" spans="2:30" ht="30" customHeight="1">
      <c r="B6" s="313" t="s">
        <v>147</v>
      </c>
      <c r="C6" s="82"/>
      <c r="D6" s="782"/>
      <c r="E6" s="800"/>
      <c r="F6" s="797"/>
      <c r="G6" s="598" t="s">
        <v>569</v>
      </c>
      <c r="H6" s="476" t="s">
        <v>637</v>
      </c>
      <c r="I6" s="324"/>
      <c r="J6" s="329">
        <f>Painokertoimet!M5</f>
        <v>2.8125</v>
      </c>
      <c r="K6" s="478">
        <f>I6*15</f>
        <v>0</v>
      </c>
      <c r="L6" s="329">
        <f>I6*15*J6</f>
        <v>0</v>
      </c>
      <c r="M6" s="585">
        <v>0.1</v>
      </c>
      <c r="N6" s="76"/>
      <c r="O6" s="95" t="s">
        <v>561</v>
      </c>
      <c r="P6" s="76"/>
      <c r="Q6" s="76"/>
      <c r="R6" s="76"/>
      <c r="S6" s="77"/>
      <c r="T6" s="78"/>
      <c r="U6" s="79">
        <f t="shared" ref="U6:U7" si="5">K6</f>
        <v>0</v>
      </c>
      <c r="V6" s="78"/>
      <c r="W6" s="74">
        <f t="shared" si="4"/>
        <v>0</v>
      </c>
      <c r="X6" s="74">
        <f t="shared" si="0"/>
        <v>0</v>
      </c>
      <c r="Y6" s="74">
        <f t="shared" si="1"/>
        <v>0</v>
      </c>
      <c r="Z6" s="74">
        <f t="shared" si="2"/>
        <v>0</v>
      </c>
      <c r="AC6" s="74">
        <f t="shared" si="3"/>
        <v>0</v>
      </c>
      <c r="AD6" s="80"/>
    </row>
    <row r="7" spans="2:30" ht="30" customHeight="1">
      <c r="B7" s="312">
        <f>Avgränsningar!J11</f>
        <v>0</v>
      </c>
      <c r="C7" s="82"/>
      <c r="D7" s="782"/>
      <c r="E7" s="800"/>
      <c r="F7" s="790" t="s">
        <v>473</v>
      </c>
      <c r="G7" s="791"/>
      <c r="H7" s="476" t="s">
        <v>638</v>
      </c>
      <c r="I7" s="324"/>
      <c r="J7" s="329">
        <f>Painokertoimet!M6</f>
        <v>2.3583333333333329</v>
      </c>
      <c r="K7" s="478">
        <f>I7*15</f>
        <v>0</v>
      </c>
      <c r="L7" s="329">
        <f>I7*3*J7</f>
        <v>0</v>
      </c>
      <c r="M7" s="585">
        <v>0.1</v>
      </c>
      <c r="N7" s="76"/>
      <c r="O7" s="76"/>
      <c r="P7" s="76"/>
      <c r="Q7" s="76"/>
      <c r="R7" s="76"/>
      <c r="S7" s="77"/>
      <c r="T7" s="78"/>
      <c r="U7" s="79">
        <f t="shared" si="5"/>
        <v>0</v>
      </c>
      <c r="V7" s="78"/>
      <c r="W7" s="74">
        <f t="shared" si="4"/>
        <v>0</v>
      </c>
      <c r="X7" s="74">
        <f t="shared" si="0"/>
        <v>0</v>
      </c>
      <c r="Y7" s="74">
        <f t="shared" si="1"/>
        <v>0</v>
      </c>
      <c r="Z7" s="74">
        <f t="shared" si="2"/>
        <v>0</v>
      </c>
      <c r="AC7" s="74">
        <f t="shared" si="3"/>
        <v>0</v>
      </c>
      <c r="AD7" s="80"/>
    </row>
    <row r="8" spans="2:30" ht="30" customHeight="1">
      <c r="B8" s="313" t="s">
        <v>149</v>
      </c>
      <c r="C8" s="81"/>
      <c r="D8" s="782"/>
      <c r="E8" s="800"/>
      <c r="F8" s="599" t="s">
        <v>272</v>
      </c>
      <c r="G8" s="600"/>
      <c r="H8" s="322" t="s">
        <v>152</v>
      </c>
      <c r="I8" s="324"/>
      <c r="J8" s="329">
        <f>Painokertoimet!M7</f>
        <v>2.2069444444444444</v>
      </c>
      <c r="K8" s="335">
        <f>I8</f>
        <v>0</v>
      </c>
      <c r="L8" s="327">
        <f>I8*J8</f>
        <v>0</v>
      </c>
      <c r="M8" s="331">
        <v>0.1</v>
      </c>
      <c r="N8" s="76"/>
      <c r="O8" s="76"/>
      <c r="P8" s="76"/>
      <c r="Q8" s="76"/>
      <c r="R8" s="76"/>
      <c r="S8" s="83"/>
      <c r="T8" s="79">
        <f>K8</f>
        <v>0</v>
      </c>
      <c r="U8" s="78"/>
      <c r="V8" s="78"/>
      <c r="W8" s="74">
        <f t="shared" ref="W8:W22" si="6">S8*M8</f>
        <v>0</v>
      </c>
      <c r="X8" s="74">
        <f t="shared" ref="X8:X22" si="7">T8*M8</f>
        <v>0</v>
      </c>
      <c r="Y8" s="74">
        <f t="shared" ref="Y8:Y22" si="8">U8*M8</f>
        <v>0</v>
      </c>
      <c r="Z8" s="74">
        <f t="shared" ref="Z8:Z22" si="9">V8*M8</f>
        <v>0</v>
      </c>
      <c r="AC8" s="74">
        <f>K8*M8</f>
        <v>0</v>
      </c>
      <c r="AD8" s="80"/>
    </row>
    <row r="9" spans="2:30" ht="30" customHeight="1" thickBot="1">
      <c r="B9" s="594">
        <f>SUM(L3:L44)</f>
        <v>0</v>
      </c>
      <c r="C9" s="82"/>
      <c r="D9" s="784"/>
      <c r="E9" s="801"/>
      <c r="F9" s="601" t="s">
        <v>273</v>
      </c>
      <c r="G9" s="598"/>
      <c r="H9" s="322" t="s">
        <v>639</v>
      </c>
      <c r="I9" s="324"/>
      <c r="J9" s="327">
        <f>Painokertoimet!M8</f>
        <v>1.489236111111111</v>
      </c>
      <c r="K9" s="335">
        <f>I9</f>
        <v>0</v>
      </c>
      <c r="L9" s="327">
        <f>I9*J9</f>
        <v>0</v>
      </c>
      <c r="M9" s="331">
        <v>0.1</v>
      </c>
      <c r="N9" s="76"/>
      <c r="O9" s="76"/>
      <c r="P9" s="76"/>
      <c r="Q9" s="76"/>
      <c r="R9" s="76"/>
      <c r="S9" s="83"/>
      <c r="T9" s="79">
        <f>K9</f>
        <v>0</v>
      </c>
      <c r="U9" s="78"/>
      <c r="V9" s="78"/>
      <c r="W9" s="74">
        <f t="shared" si="6"/>
        <v>0</v>
      </c>
      <c r="X9" s="74">
        <f t="shared" si="7"/>
        <v>0</v>
      </c>
      <c r="Y9" s="74">
        <f t="shared" si="8"/>
        <v>0</v>
      </c>
      <c r="Z9" s="74">
        <f t="shared" si="9"/>
        <v>0</v>
      </c>
      <c r="AC9" s="74">
        <f>K9*M9</f>
        <v>0</v>
      </c>
      <c r="AD9" s="80"/>
    </row>
    <row r="10" spans="2:30" ht="30" customHeight="1" thickBot="1">
      <c r="D10" s="768" t="s">
        <v>251</v>
      </c>
      <c r="E10" s="769"/>
      <c r="F10" s="602" t="s">
        <v>164</v>
      </c>
      <c r="G10" s="603"/>
      <c r="H10" s="323" t="s">
        <v>640</v>
      </c>
      <c r="I10" s="325"/>
      <c r="J10" s="328">
        <f>Painokertoimet!M9</f>
        <v>1.8645833333333333</v>
      </c>
      <c r="K10" s="336">
        <f>I10</f>
        <v>0</v>
      </c>
      <c r="L10" s="328">
        <f t="shared" ref="L10:L30" si="10">I10*J10</f>
        <v>0</v>
      </c>
      <c r="M10" s="332">
        <v>0.7</v>
      </c>
      <c r="N10" s="76"/>
      <c r="O10" s="76"/>
      <c r="P10" s="76"/>
      <c r="Q10" s="76"/>
      <c r="R10" s="76"/>
      <c r="S10" s="83"/>
      <c r="T10" s="79">
        <f>K10</f>
        <v>0</v>
      </c>
      <c r="U10" s="78"/>
      <c r="V10" s="78"/>
      <c r="W10" s="74">
        <f t="shared" si="6"/>
        <v>0</v>
      </c>
      <c r="X10" s="74">
        <f t="shared" si="7"/>
        <v>0</v>
      </c>
      <c r="Y10" s="74">
        <f t="shared" si="8"/>
        <v>0</v>
      </c>
      <c r="Z10" s="74">
        <f t="shared" si="9"/>
        <v>0</v>
      </c>
      <c r="AC10" s="74">
        <f t="shared" ref="AC10:AC19" si="11">K10*M10</f>
        <v>0</v>
      </c>
      <c r="AD10" s="80"/>
    </row>
    <row r="11" spans="2:30" ht="30" customHeight="1">
      <c r="B11" s="766" t="s">
        <v>495</v>
      </c>
      <c r="D11" s="780" t="s">
        <v>24</v>
      </c>
      <c r="E11" s="799" t="s">
        <v>641</v>
      </c>
      <c r="F11" s="792" t="s">
        <v>465</v>
      </c>
      <c r="G11" s="604" t="s">
        <v>467</v>
      </c>
      <c r="H11" s="476" t="s">
        <v>642</v>
      </c>
      <c r="I11" s="324"/>
      <c r="J11" s="329">
        <f>Painokertoimet!M10</f>
        <v>2.7770138888888889</v>
      </c>
      <c r="K11" s="478">
        <f>I11*25</f>
        <v>0</v>
      </c>
      <c r="L11" s="329">
        <f>I11*25*J11</f>
        <v>0</v>
      </c>
      <c r="M11" s="585">
        <v>0.1</v>
      </c>
      <c r="N11" s="76"/>
      <c r="O11" s="76"/>
      <c r="P11" s="76"/>
      <c r="Q11" s="76"/>
      <c r="R11" s="76"/>
      <c r="S11" s="77"/>
      <c r="T11" s="79"/>
      <c r="U11" s="79">
        <f>K11</f>
        <v>0</v>
      </c>
      <c r="V11" s="78"/>
      <c r="W11" s="74">
        <f t="shared" si="6"/>
        <v>0</v>
      </c>
      <c r="X11" s="74">
        <f t="shared" si="7"/>
        <v>0</v>
      </c>
      <c r="Y11" s="74">
        <f t="shared" si="8"/>
        <v>0</v>
      </c>
      <c r="Z11" s="74">
        <f t="shared" si="9"/>
        <v>0</v>
      </c>
      <c r="AC11" s="74">
        <f t="shared" si="11"/>
        <v>0</v>
      </c>
      <c r="AD11" s="80">
        <f t="shared" ref="AD11:AD19" si="12">K11*M11</f>
        <v>0</v>
      </c>
    </row>
    <row r="12" spans="2:30" ht="30" customHeight="1">
      <c r="B12" s="767"/>
      <c r="D12" s="782"/>
      <c r="E12" s="800"/>
      <c r="F12" s="793"/>
      <c r="G12" s="605" t="s">
        <v>468</v>
      </c>
      <c r="H12" s="476" t="s">
        <v>643</v>
      </c>
      <c r="I12" s="324"/>
      <c r="J12" s="329">
        <f>Painokertoimet!M11</f>
        <v>2.4331944444444447</v>
      </c>
      <c r="K12" s="478">
        <f>I12*25</f>
        <v>0</v>
      </c>
      <c r="L12" s="329">
        <f>I12*25*J12</f>
        <v>0</v>
      </c>
      <c r="M12" s="585">
        <v>0.1</v>
      </c>
      <c r="N12" s="76"/>
      <c r="O12" s="76"/>
      <c r="P12" s="76"/>
      <c r="Q12" s="76"/>
      <c r="R12" s="76"/>
      <c r="S12" s="77"/>
      <c r="T12" s="79"/>
      <c r="U12" s="79">
        <f t="shared" ref="U12:U13" si="13">K12</f>
        <v>0</v>
      </c>
      <c r="V12" s="78"/>
      <c r="W12" s="74">
        <f t="shared" si="6"/>
        <v>0</v>
      </c>
      <c r="X12" s="74">
        <f t="shared" si="7"/>
        <v>0</v>
      </c>
      <c r="Y12" s="74">
        <f t="shared" si="8"/>
        <v>0</v>
      </c>
      <c r="Z12" s="74">
        <f t="shared" si="9"/>
        <v>0</v>
      </c>
      <c r="AC12" s="74">
        <f t="shared" si="11"/>
        <v>0</v>
      </c>
      <c r="AD12" s="80">
        <f t="shared" si="12"/>
        <v>0</v>
      </c>
    </row>
    <row r="13" spans="2:30" ht="30" customHeight="1">
      <c r="B13" s="590" t="e">
        <f>B17*B15*B7*Avgränsningar!H16/1000</f>
        <v>#DIV/0!</v>
      </c>
      <c r="D13" s="782"/>
      <c r="E13" s="800"/>
      <c r="F13" s="793"/>
      <c r="G13" s="605" t="s">
        <v>469</v>
      </c>
      <c r="H13" s="476" t="s">
        <v>644</v>
      </c>
      <c r="I13" s="324"/>
      <c r="J13" s="329">
        <f>Painokertoimet!M12</f>
        <v>2.3419444444444446</v>
      </c>
      <c r="K13" s="478">
        <f>I13*15</f>
        <v>0</v>
      </c>
      <c r="L13" s="329">
        <f>I13*15*J13</f>
        <v>0</v>
      </c>
      <c r="M13" s="585">
        <v>0.1</v>
      </c>
      <c r="N13" s="76"/>
      <c r="O13" s="76"/>
      <c r="P13" s="76"/>
      <c r="Q13" s="76"/>
      <c r="R13" s="76"/>
      <c r="S13" s="77"/>
      <c r="T13" s="79"/>
      <c r="U13" s="79">
        <f t="shared" si="13"/>
        <v>0</v>
      </c>
      <c r="V13" s="78"/>
      <c r="W13" s="74">
        <f t="shared" si="6"/>
        <v>0</v>
      </c>
      <c r="X13" s="74">
        <f t="shared" si="7"/>
        <v>0</v>
      </c>
      <c r="Y13" s="74">
        <f t="shared" si="8"/>
        <v>0</v>
      </c>
      <c r="Z13" s="74">
        <f t="shared" si="9"/>
        <v>0</v>
      </c>
      <c r="AC13" s="74">
        <f t="shared" si="11"/>
        <v>0</v>
      </c>
      <c r="AD13" s="80">
        <f t="shared" si="12"/>
        <v>0</v>
      </c>
    </row>
    <row r="14" spans="2:30" ht="30" customHeight="1" thickBot="1">
      <c r="B14" s="315" t="s">
        <v>173</v>
      </c>
      <c r="D14" s="782"/>
      <c r="E14" s="800"/>
      <c r="F14" s="793"/>
      <c r="G14" s="605" t="s">
        <v>471</v>
      </c>
      <c r="H14" s="476" t="s">
        <v>645</v>
      </c>
      <c r="I14" s="324"/>
      <c r="J14" s="329">
        <f>Painokertoimet!M13</f>
        <v>2.184166666666667</v>
      </c>
      <c r="K14" s="478">
        <f>I14*15</f>
        <v>0</v>
      </c>
      <c r="L14" s="329">
        <f>I14*15*J14</f>
        <v>0</v>
      </c>
      <c r="M14" s="585">
        <v>0.1</v>
      </c>
      <c r="N14" s="76"/>
      <c r="O14" s="76"/>
      <c r="P14" s="76"/>
      <c r="Q14" s="76"/>
      <c r="R14" s="76"/>
      <c r="S14" s="77"/>
      <c r="T14" s="79"/>
      <c r="U14" s="79">
        <f>K14</f>
        <v>0</v>
      </c>
      <c r="V14" s="78"/>
      <c r="W14" s="74">
        <f t="shared" si="6"/>
        <v>0</v>
      </c>
      <c r="X14" s="74">
        <f t="shared" si="7"/>
        <v>0</v>
      </c>
      <c r="Y14" s="74">
        <f t="shared" si="8"/>
        <v>0</v>
      </c>
      <c r="Z14" s="74">
        <f t="shared" si="9"/>
        <v>0</v>
      </c>
      <c r="AC14" s="74">
        <f t="shared" si="11"/>
        <v>0</v>
      </c>
      <c r="AD14" s="80">
        <f t="shared" si="12"/>
        <v>0</v>
      </c>
    </row>
    <row r="15" spans="2:30" ht="30" customHeight="1">
      <c r="B15" s="316">
        <f>10</f>
        <v>10</v>
      </c>
      <c r="C15" s="18"/>
      <c r="D15" s="782"/>
      <c r="E15" s="781"/>
      <c r="F15" s="794" t="s">
        <v>145</v>
      </c>
      <c r="G15" s="794"/>
      <c r="H15" s="322" t="s">
        <v>646</v>
      </c>
      <c r="I15" s="324"/>
      <c r="J15" s="327">
        <f>Painokertoimet!M14</f>
        <v>1.7017361111111107</v>
      </c>
      <c r="K15" s="335">
        <f>I15*3</f>
        <v>0</v>
      </c>
      <c r="L15" s="327">
        <f>I15*3*J15</f>
        <v>0</v>
      </c>
      <c r="M15" s="585">
        <v>0.1</v>
      </c>
      <c r="N15" s="76"/>
      <c r="O15" s="76"/>
      <c r="P15" s="76"/>
      <c r="Q15" s="76"/>
      <c r="R15" s="76"/>
      <c r="S15" s="84"/>
      <c r="T15" s="79"/>
      <c r="U15" s="79">
        <f>K15</f>
        <v>0</v>
      </c>
      <c r="V15" s="78"/>
      <c r="W15" s="74">
        <f t="shared" si="6"/>
        <v>0</v>
      </c>
      <c r="X15" s="74">
        <f t="shared" si="7"/>
        <v>0</v>
      </c>
      <c r="Y15" s="74">
        <f t="shared" si="8"/>
        <v>0</v>
      </c>
      <c r="Z15" s="74">
        <f t="shared" si="9"/>
        <v>0</v>
      </c>
      <c r="AC15" s="74">
        <f t="shared" si="11"/>
        <v>0</v>
      </c>
      <c r="AD15" s="80">
        <f t="shared" si="12"/>
        <v>0</v>
      </c>
    </row>
    <row r="16" spans="2:30" ht="30" customHeight="1">
      <c r="B16" s="315" t="s">
        <v>182</v>
      </c>
      <c r="D16" s="782"/>
      <c r="E16" s="783"/>
      <c r="F16" s="794" t="s">
        <v>154</v>
      </c>
      <c r="G16" s="794"/>
      <c r="H16" s="322" t="s">
        <v>647</v>
      </c>
      <c r="I16" s="324"/>
      <c r="J16" s="327">
        <f>Painokertoimet!M15</f>
        <v>1.4180555555555554</v>
      </c>
      <c r="K16" s="335">
        <f>I16</f>
        <v>0</v>
      </c>
      <c r="L16" s="327">
        <f t="shared" si="10"/>
        <v>0</v>
      </c>
      <c r="M16" s="331">
        <v>0.1</v>
      </c>
      <c r="N16" s="76"/>
      <c r="O16" s="76"/>
      <c r="P16" s="76"/>
      <c r="Q16" s="76"/>
      <c r="R16" s="76"/>
      <c r="S16" s="83"/>
      <c r="T16" s="79">
        <f>K16</f>
        <v>0</v>
      </c>
      <c r="U16" s="78"/>
      <c r="V16" s="78"/>
      <c r="W16" s="74">
        <f t="shared" si="6"/>
        <v>0</v>
      </c>
      <c r="X16" s="74">
        <f t="shared" si="7"/>
        <v>0</v>
      </c>
      <c r="Y16" s="74">
        <f t="shared" si="8"/>
        <v>0</v>
      </c>
      <c r="Z16" s="74">
        <f t="shared" si="9"/>
        <v>0</v>
      </c>
      <c r="AC16" s="74">
        <f t="shared" si="11"/>
        <v>0</v>
      </c>
      <c r="AD16" s="80">
        <f t="shared" si="12"/>
        <v>0</v>
      </c>
    </row>
    <row r="17" spans="2:30" ht="30" customHeight="1">
      <c r="B17" s="317" t="e">
        <f>AA37</f>
        <v>#DIV/0!</v>
      </c>
      <c r="D17" s="782"/>
      <c r="E17" s="783"/>
      <c r="F17" s="794" t="s">
        <v>128</v>
      </c>
      <c r="G17" s="794"/>
      <c r="H17" s="322" t="s">
        <v>648</v>
      </c>
      <c r="I17" s="324"/>
      <c r="J17" s="327">
        <f>Painokertoimet!M16</f>
        <v>1.6315972222222221</v>
      </c>
      <c r="K17" s="335">
        <f t="shared" ref="K17:K21" si="14">I17</f>
        <v>0</v>
      </c>
      <c r="L17" s="327">
        <f t="shared" si="10"/>
        <v>0</v>
      </c>
      <c r="M17" s="331">
        <v>0.1</v>
      </c>
      <c r="N17" s="76"/>
      <c r="O17" s="76"/>
      <c r="P17" s="76"/>
      <c r="Q17" s="76"/>
      <c r="R17" s="76"/>
      <c r="S17" s="83"/>
      <c r="T17" s="79">
        <f>K17</f>
        <v>0</v>
      </c>
      <c r="U17" s="78"/>
      <c r="V17" s="78"/>
      <c r="W17" s="74">
        <f>S17*M17</f>
        <v>0</v>
      </c>
      <c r="X17" s="74">
        <f>T17*M17</f>
        <v>0</v>
      </c>
      <c r="Y17" s="74">
        <f t="shared" si="8"/>
        <v>0</v>
      </c>
      <c r="Z17" s="74">
        <f t="shared" si="9"/>
        <v>0</v>
      </c>
      <c r="AC17" s="74">
        <f t="shared" si="11"/>
        <v>0</v>
      </c>
      <c r="AD17" s="80">
        <f t="shared" si="12"/>
        <v>0</v>
      </c>
    </row>
    <row r="18" spans="2:30" ht="30" customHeight="1">
      <c r="D18" s="782"/>
      <c r="E18" s="783"/>
      <c r="F18" s="794" t="s">
        <v>129</v>
      </c>
      <c r="G18" s="794"/>
      <c r="H18" s="322" t="s">
        <v>649</v>
      </c>
      <c r="I18" s="324"/>
      <c r="J18" s="327">
        <f>Painokertoimet!M17</f>
        <v>1.7711805555555553</v>
      </c>
      <c r="K18" s="335">
        <f>I18</f>
        <v>0</v>
      </c>
      <c r="L18" s="327">
        <f t="shared" si="10"/>
        <v>0</v>
      </c>
      <c r="M18" s="331">
        <v>0.1</v>
      </c>
      <c r="N18" s="76"/>
      <c r="O18" s="76"/>
      <c r="P18" s="76"/>
      <c r="Q18" s="76"/>
      <c r="R18" s="76"/>
      <c r="S18" s="83"/>
      <c r="T18" s="79">
        <f>K18</f>
        <v>0</v>
      </c>
      <c r="U18" s="78"/>
      <c r="V18" s="78"/>
      <c r="W18" s="74">
        <f>S18*M18</f>
        <v>0</v>
      </c>
      <c r="X18" s="74">
        <f>T18*M18</f>
        <v>0</v>
      </c>
      <c r="Y18" s="74">
        <f t="shared" si="8"/>
        <v>0</v>
      </c>
      <c r="Z18" s="74">
        <f t="shared" si="9"/>
        <v>0</v>
      </c>
      <c r="AC18" s="74">
        <f t="shared" si="11"/>
        <v>0</v>
      </c>
      <c r="AD18" s="80">
        <f t="shared" si="12"/>
        <v>0</v>
      </c>
    </row>
    <row r="19" spans="2:30" ht="30" customHeight="1">
      <c r="B19" s="318" t="s">
        <v>650</v>
      </c>
      <c r="D19" s="782"/>
      <c r="E19" s="783"/>
      <c r="F19" s="794" t="s">
        <v>280</v>
      </c>
      <c r="G19" s="794"/>
      <c r="H19" s="322" t="s">
        <v>651</v>
      </c>
      <c r="I19" s="324"/>
      <c r="J19" s="327">
        <f>Painokertoimet!M18</f>
        <v>2.0093749999999999</v>
      </c>
      <c r="K19" s="335">
        <f t="shared" si="14"/>
        <v>0</v>
      </c>
      <c r="L19" s="327">
        <f t="shared" si="10"/>
        <v>0</v>
      </c>
      <c r="M19" s="331">
        <v>0.3</v>
      </c>
      <c r="N19" s="76"/>
      <c r="O19" s="76"/>
      <c r="P19" s="76"/>
      <c r="Q19" s="76"/>
      <c r="R19" s="76"/>
      <c r="S19" s="84">
        <f>K19</f>
        <v>0</v>
      </c>
      <c r="T19" s="79"/>
      <c r="U19" s="78"/>
      <c r="V19" s="78"/>
      <c r="W19" s="74">
        <f t="shared" si="6"/>
        <v>0</v>
      </c>
      <c r="X19" s="74">
        <f t="shared" si="7"/>
        <v>0</v>
      </c>
      <c r="Y19" s="74">
        <f t="shared" si="8"/>
        <v>0</v>
      </c>
      <c r="Z19" s="74">
        <f t="shared" si="9"/>
        <v>0</v>
      </c>
      <c r="AC19" s="74">
        <f t="shared" si="11"/>
        <v>0</v>
      </c>
      <c r="AD19" s="80">
        <f t="shared" si="12"/>
        <v>0</v>
      </c>
    </row>
    <row r="20" spans="2:30" ht="30" customHeight="1">
      <c r="B20" s="777" t="str">
        <f>Avgränsningar!D52</f>
        <v/>
      </c>
      <c r="D20" s="782"/>
      <c r="E20" s="783"/>
      <c r="F20" s="795" t="s">
        <v>274</v>
      </c>
      <c r="G20" s="795"/>
      <c r="H20" s="322" t="s">
        <v>652</v>
      </c>
      <c r="I20" s="324"/>
      <c r="J20" s="327">
        <f>Painokertoimet!M19</f>
        <v>1.6204861111111106</v>
      </c>
      <c r="K20" s="335">
        <f>I20</f>
        <v>0</v>
      </c>
      <c r="L20" s="327">
        <f t="shared" ref="L20" si="15">I20*J20</f>
        <v>0</v>
      </c>
      <c r="M20" s="331">
        <v>0.1</v>
      </c>
      <c r="N20" s="76"/>
      <c r="O20" s="76"/>
      <c r="P20" s="76"/>
      <c r="Q20" s="76"/>
      <c r="R20" s="76"/>
      <c r="S20" s="83"/>
      <c r="T20" s="79">
        <f>K20</f>
        <v>0</v>
      </c>
      <c r="U20" s="78"/>
      <c r="V20" s="78"/>
      <c r="W20" s="74">
        <f t="shared" si="6"/>
        <v>0</v>
      </c>
      <c r="X20" s="74">
        <f t="shared" si="7"/>
        <v>0</v>
      </c>
      <c r="Y20" s="74">
        <f t="shared" si="8"/>
        <v>0</v>
      </c>
      <c r="Z20" s="74">
        <f t="shared" si="9"/>
        <v>0</v>
      </c>
      <c r="AC20" s="74">
        <f t="shared" ref="AC20" si="16">K20*M20</f>
        <v>0</v>
      </c>
      <c r="AD20" s="80">
        <f t="shared" ref="AD20" si="17">K20*M20</f>
        <v>0</v>
      </c>
    </row>
    <row r="21" spans="2:30" ht="30" customHeight="1" thickBot="1">
      <c r="B21" s="778"/>
      <c r="D21" s="784"/>
      <c r="E21" s="785"/>
      <c r="F21" s="794" t="s">
        <v>130</v>
      </c>
      <c r="G21" s="794"/>
      <c r="H21" s="322" t="s">
        <v>653</v>
      </c>
      <c r="I21" s="324"/>
      <c r="J21" s="327">
        <f>Painokertoimet!M20</f>
        <v>1.101736111111111</v>
      </c>
      <c r="K21" s="335">
        <f t="shared" si="14"/>
        <v>0</v>
      </c>
      <c r="L21" s="327">
        <f t="shared" si="10"/>
        <v>0</v>
      </c>
      <c r="M21" s="331">
        <v>0.1</v>
      </c>
      <c r="N21" s="76"/>
      <c r="O21" s="76"/>
      <c r="P21" s="76"/>
      <c r="Q21" s="76"/>
      <c r="R21" s="76"/>
      <c r="S21" s="83"/>
      <c r="T21" s="79">
        <f>K21</f>
        <v>0</v>
      </c>
      <c r="U21" s="78"/>
      <c r="V21" s="78"/>
      <c r="W21" s="74">
        <f t="shared" si="6"/>
        <v>0</v>
      </c>
      <c r="X21" s="74">
        <f t="shared" si="7"/>
        <v>0</v>
      </c>
      <c r="Y21" s="74">
        <f t="shared" si="8"/>
        <v>0</v>
      </c>
      <c r="Z21" s="74">
        <f t="shared" si="9"/>
        <v>0</v>
      </c>
      <c r="AC21" s="74">
        <f>K21*M21</f>
        <v>0</v>
      </c>
      <c r="AD21" s="80">
        <f>K21*M21</f>
        <v>0</v>
      </c>
    </row>
    <row r="22" spans="2:30" ht="30" customHeight="1" thickBot="1">
      <c r="B22" s="778"/>
      <c r="D22" s="772" t="s">
        <v>654</v>
      </c>
      <c r="E22" s="773"/>
      <c r="F22" s="798" t="s">
        <v>146</v>
      </c>
      <c r="G22" s="798"/>
      <c r="H22" s="322" t="s">
        <v>655</v>
      </c>
      <c r="I22" s="324"/>
      <c r="J22" s="329">
        <f>Painokertoimet!M21</f>
        <v>1.5767361111111109</v>
      </c>
      <c r="K22" s="335">
        <f>I22*2</f>
        <v>0</v>
      </c>
      <c r="L22" s="327">
        <f>I22*2*J22</f>
        <v>0</v>
      </c>
      <c r="M22" s="331">
        <v>0.1</v>
      </c>
      <c r="N22" s="76"/>
      <c r="O22" s="76"/>
      <c r="P22" s="76"/>
      <c r="Q22" s="76"/>
      <c r="R22" s="76"/>
      <c r="S22" s="84">
        <f>K22</f>
        <v>0</v>
      </c>
      <c r="T22" s="79"/>
      <c r="U22" s="78"/>
      <c r="V22" s="78"/>
      <c r="W22" s="74">
        <f t="shared" si="6"/>
        <v>0</v>
      </c>
      <c r="X22" s="74">
        <f t="shared" si="7"/>
        <v>0</v>
      </c>
      <c r="Y22" s="74">
        <f t="shared" si="8"/>
        <v>0</v>
      </c>
      <c r="Z22" s="74">
        <f t="shared" si="9"/>
        <v>0</v>
      </c>
      <c r="AC22" s="74">
        <f>K22*M22</f>
        <v>0</v>
      </c>
      <c r="AD22" s="80">
        <f>K22*M22</f>
        <v>0</v>
      </c>
    </row>
    <row r="23" spans="2:30" ht="30" customHeight="1" thickBot="1">
      <c r="B23" s="778"/>
      <c r="D23" s="776" t="s">
        <v>276</v>
      </c>
      <c r="E23" s="606" t="s">
        <v>656</v>
      </c>
      <c r="F23" s="607" t="s">
        <v>360</v>
      </c>
      <c r="G23" s="608"/>
      <c r="H23" s="337" t="s">
        <v>657</v>
      </c>
      <c r="I23" s="338"/>
      <c r="J23" s="339">
        <f>Painokertoimet!M22</f>
        <v>1.2489583333333332</v>
      </c>
      <c r="K23" s="340">
        <f>I23</f>
        <v>0</v>
      </c>
      <c r="L23" s="339">
        <f t="shared" ref="L23:L28" si="18">I23*J23</f>
        <v>0</v>
      </c>
      <c r="M23" s="341" t="s">
        <v>658</v>
      </c>
      <c r="N23" s="76"/>
      <c r="O23" s="76"/>
      <c r="P23" s="76"/>
      <c r="Q23" s="76"/>
      <c r="R23" s="76"/>
      <c r="S23" s="84"/>
      <c r="T23" s="79"/>
      <c r="U23" s="78"/>
      <c r="V23" s="78"/>
      <c r="AD23" s="80"/>
    </row>
    <row r="24" spans="2:30" ht="30" customHeight="1" thickBot="1">
      <c r="B24" s="778"/>
      <c r="D24" s="776"/>
      <c r="E24" s="606" t="s">
        <v>659</v>
      </c>
      <c r="F24" s="609" t="s">
        <v>618</v>
      </c>
      <c r="G24" s="610"/>
      <c r="H24" s="322" t="s">
        <v>660</v>
      </c>
      <c r="I24" s="324"/>
      <c r="J24" s="327">
        <f>Painokertoimet!M23</f>
        <v>2.0329861111111112</v>
      </c>
      <c r="K24" s="335">
        <f>I24</f>
        <v>0</v>
      </c>
      <c r="L24" s="327">
        <f t="shared" si="18"/>
        <v>0</v>
      </c>
      <c r="M24" s="331">
        <v>0.1</v>
      </c>
      <c r="N24" s="76"/>
      <c r="O24" s="76"/>
      <c r="P24" s="76"/>
      <c r="Q24" s="76"/>
      <c r="R24" s="76"/>
      <c r="S24" s="84">
        <f t="shared" ref="S24:S33" si="19">K24</f>
        <v>0</v>
      </c>
      <c r="U24" s="78"/>
      <c r="V24" s="78"/>
      <c r="W24" s="74">
        <f>S24*M24</f>
        <v>0</v>
      </c>
      <c r="X24" s="74">
        <f>T24*M24</f>
        <v>0</v>
      </c>
      <c r="Y24" s="74">
        <f t="shared" ref="Y24:Y33" si="20">U24*M24</f>
        <v>0</v>
      </c>
      <c r="Z24" s="74">
        <f t="shared" ref="Z24:Z33" si="21">V24*M24</f>
        <v>0</v>
      </c>
      <c r="AC24" s="74">
        <f t="shared" ref="AC24:AC33" si="22">K24*M24</f>
        <v>0</v>
      </c>
      <c r="AD24" s="80">
        <f t="shared" ref="AD24:AD33" si="23">K24*M24</f>
        <v>0</v>
      </c>
    </row>
    <row r="25" spans="2:30" ht="30" customHeight="1" thickBot="1">
      <c r="B25" s="778"/>
      <c r="C25" s="85"/>
      <c r="D25" s="776"/>
      <c r="E25" s="606" t="s">
        <v>661</v>
      </c>
      <c r="F25" s="609" t="s">
        <v>617</v>
      </c>
      <c r="G25" s="610"/>
      <c r="H25" s="322" t="s">
        <v>662</v>
      </c>
      <c r="I25" s="324"/>
      <c r="J25" s="329">
        <f>Painokertoimet!M24</f>
        <v>1.6722222222222221</v>
      </c>
      <c r="K25" s="335">
        <f>I25</f>
        <v>0</v>
      </c>
      <c r="L25" s="327">
        <f t="shared" si="18"/>
        <v>0</v>
      </c>
      <c r="M25" s="331">
        <v>0.4</v>
      </c>
      <c r="N25" s="76"/>
      <c r="O25" s="76"/>
      <c r="P25" s="76"/>
      <c r="Q25" s="76"/>
      <c r="R25" s="76"/>
      <c r="S25" s="84">
        <f t="shared" si="19"/>
        <v>0</v>
      </c>
      <c r="U25" s="78"/>
      <c r="V25" s="78"/>
      <c r="W25" s="74">
        <f>S25*M25</f>
        <v>0</v>
      </c>
      <c r="X25" s="74">
        <f>T25*M25</f>
        <v>0</v>
      </c>
      <c r="Y25" s="74">
        <f t="shared" si="20"/>
        <v>0</v>
      </c>
      <c r="Z25" s="74">
        <f t="shared" si="21"/>
        <v>0</v>
      </c>
      <c r="AC25" s="74">
        <f t="shared" si="22"/>
        <v>0</v>
      </c>
      <c r="AD25" s="80">
        <f t="shared" si="23"/>
        <v>0</v>
      </c>
    </row>
    <row r="26" spans="2:30" ht="30" customHeight="1" thickBot="1">
      <c r="B26" s="778"/>
      <c r="C26" s="85"/>
      <c r="D26" s="611" t="s">
        <v>663</v>
      </c>
      <c r="E26" s="606" t="s">
        <v>664</v>
      </c>
      <c r="F26" s="612" t="s">
        <v>363</v>
      </c>
      <c r="G26" s="613"/>
      <c r="H26" s="323" t="s">
        <v>665</v>
      </c>
      <c r="I26" s="325"/>
      <c r="J26" s="328">
        <f>Painokertoimet!M25</f>
        <v>1.3885416666666663</v>
      </c>
      <c r="K26" s="336">
        <f>I26</f>
        <v>0</v>
      </c>
      <c r="L26" s="328">
        <f t="shared" si="18"/>
        <v>0</v>
      </c>
      <c r="M26" s="342">
        <v>0.6</v>
      </c>
      <c r="N26" s="76"/>
      <c r="O26" s="76"/>
      <c r="P26" s="76"/>
      <c r="Q26" s="76"/>
      <c r="R26" s="76"/>
      <c r="S26" s="84">
        <f t="shared" si="19"/>
        <v>0</v>
      </c>
      <c r="T26" s="79"/>
      <c r="U26" s="78"/>
      <c r="V26" s="78"/>
      <c r="W26" s="74">
        <f>S26*M26</f>
        <v>0</v>
      </c>
      <c r="X26" s="74">
        <f t="shared" ref="X26:X31" si="24">T26*M26</f>
        <v>0</v>
      </c>
      <c r="Y26" s="74">
        <f t="shared" si="20"/>
        <v>0</v>
      </c>
      <c r="Z26" s="74">
        <f t="shared" si="21"/>
        <v>0</v>
      </c>
      <c r="AC26" s="74">
        <f t="shared" si="22"/>
        <v>0</v>
      </c>
      <c r="AD26" s="80">
        <f t="shared" si="23"/>
        <v>0</v>
      </c>
    </row>
    <row r="27" spans="2:30" ht="30" customHeight="1" thickBot="1">
      <c r="B27" s="778"/>
      <c r="C27" s="85"/>
      <c r="D27" s="774" t="s">
        <v>11</v>
      </c>
      <c r="E27" s="606" t="s">
        <v>666</v>
      </c>
      <c r="F27" s="614" t="s">
        <v>475</v>
      </c>
      <c r="G27" s="615"/>
      <c r="H27" s="322" t="s">
        <v>667</v>
      </c>
      <c r="I27" s="324"/>
      <c r="J27" s="327">
        <f>Painokertoimet!M26</f>
        <v>1.3155555555555556</v>
      </c>
      <c r="K27" s="335">
        <f>I27</f>
        <v>0</v>
      </c>
      <c r="L27" s="327">
        <f>I27*J27</f>
        <v>0</v>
      </c>
      <c r="M27" s="331">
        <v>0.3</v>
      </c>
      <c r="N27" s="76"/>
      <c r="O27" s="76"/>
      <c r="P27" s="76"/>
      <c r="Q27" s="76"/>
      <c r="R27" s="76"/>
      <c r="S27" s="245">
        <f t="shared" si="19"/>
        <v>0</v>
      </c>
      <c r="U27" s="78"/>
      <c r="V27" s="78"/>
      <c r="W27" s="74">
        <f t="shared" ref="W27:W28" si="25">S27*M27</f>
        <v>0</v>
      </c>
      <c r="X27" s="74">
        <f t="shared" si="24"/>
        <v>0</v>
      </c>
      <c r="Y27" s="74">
        <f>U27*M27</f>
        <v>0</v>
      </c>
      <c r="Z27" s="74">
        <f>V27*M27</f>
        <v>0</v>
      </c>
      <c r="AC27" s="74">
        <f>K27*M27</f>
        <v>0</v>
      </c>
      <c r="AD27" s="80">
        <f>K27*M27</f>
        <v>0</v>
      </c>
    </row>
    <row r="28" spans="2:30" ht="30" customHeight="1" thickBot="1">
      <c r="B28" s="778"/>
      <c r="D28" s="775"/>
      <c r="E28" s="606" t="s">
        <v>668</v>
      </c>
      <c r="F28" s="616" t="s">
        <v>474</v>
      </c>
      <c r="G28" s="617"/>
      <c r="H28" s="322" t="s">
        <v>669</v>
      </c>
      <c r="I28" s="324"/>
      <c r="J28" s="327">
        <f>Painokertoimet!M27</f>
        <v>0.92527777777777764</v>
      </c>
      <c r="K28" s="335">
        <f t="shared" ref="K28:K30" si="26">I28</f>
        <v>0</v>
      </c>
      <c r="L28" s="327">
        <f t="shared" si="18"/>
        <v>0</v>
      </c>
      <c r="M28" s="331">
        <v>0.5</v>
      </c>
      <c r="N28" s="76"/>
      <c r="O28" s="76"/>
      <c r="P28" s="76"/>
      <c r="Q28" s="76"/>
      <c r="R28" s="76"/>
      <c r="S28" s="245">
        <f t="shared" si="19"/>
        <v>0</v>
      </c>
      <c r="U28" s="78"/>
      <c r="V28" s="78"/>
      <c r="W28" s="74">
        <f t="shared" si="25"/>
        <v>0</v>
      </c>
      <c r="X28" s="74">
        <f t="shared" si="24"/>
        <v>0</v>
      </c>
      <c r="Y28" s="74">
        <f t="shared" si="20"/>
        <v>0</v>
      </c>
      <c r="Z28" s="74">
        <f t="shared" si="21"/>
        <v>0</v>
      </c>
      <c r="AC28" s="74">
        <f t="shared" si="22"/>
        <v>0</v>
      </c>
      <c r="AD28" s="80">
        <f t="shared" si="23"/>
        <v>0</v>
      </c>
    </row>
    <row r="29" spans="2:30" ht="30" customHeight="1" thickBot="1">
      <c r="B29" s="778"/>
      <c r="D29" s="768" t="s">
        <v>670</v>
      </c>
      <c r="E29" s="769"/>
      <c r="F29" s="786" t="s">
        <v>171</v>
      </c>
      <c r="G29" s="787"/>
      <c r="H29" s="322" t="s">
        <v>671</v>
      </c>
      <c r="I29" s="326">
        <f>IF((B7-I8-I9-I16-I17-I18-I19-I20-I21-I24-I25-I26-I27-I28-I30-I31-I32-I33-I34)&lt;0,"HUOM &lt; 0",(B7-I8-I9-I16-I17-I18-I19-I20-I21-I24-I25-I26-I27-I28-I30-I31-I32-I33-I34))</f>
        <v>0</v>
      </c>
      <c r="J29" s="330" t="s">
        <v>672</v>
      </c>
      <c r="K29" s="335">
        <f t="shared" si="26"/>
        <v>0</v>
      </c>
      <c r="L29" s="330" t="s">
        <v>673</v>
      </c>
      <c r="M29" s="331">
        <v>1</v>
      </c>
      <c r="N29" s="76"/>
      <c r="O29" s="76"/>
      <c r="P29" s="76"/>
      <c r="Q29" s="76"/>
      <c r="R29" s="76"/>
      <c r="S29" s="84">
        <f t="shared" si="19"/>
        <v>0</v>
      </c>
      <c r="T29" s="79"/>
      <c r="U29" s="78"/>
      <c r="V29" s="78"/>
      <c r="W29" s="74">
        <f t="shared" ref="W29:W33" si="27">S29*M29</f>
        <v>0</v>
      </c>
      <c r="X29" s="74">
        <f t="shared" si="24"/>
        <v>0</v>
      </c>
      <c r="Y29" s="74">
        <f t="shared" si="20"/>
        <v>0</v>
      </c>
      <c r="Z29" s="74">
        <f t="shared" si="21"/>
        <v>0</v>
      </c>
      <c r="AC29" s="74">
        <f t="shared" si="22"/>
        <v>0</v>
      </c>
      <c r="AD29" s="80">
        <f t="shared" si="23"/>
        <v>0</v>
      </c>
    </row>
    <row r="30" spans="2:30" ht="30" customHeight="1" thickBot="1">
      <c r="B30" s="778"/>
      <c r="D30" s="776" t="s">
        <v>8</v>
      </c>
      <c r="E30" s="606" t="s">
        <v>674</v>
      </c>
      <c r="F30" s="618" t="s">
        <v>559</v>
      </c>
      <c r="G30" s="608"/>
      <c r="H30" s="337" t="s">
        <v>675</v>
      </c>
      <c r="I30" s="338"/>
      <c r="J30" s="339">
        <f>Painokertoimet!M28</f>
        <v>2.78125</v>
      </c>
      <c r="K30" s="340">
        <f t="shared" si="26"/>
        <v>0</v>
      </c>
      <c r="L30" s="339">
        <f t="shared" si="10"/>
        <v>0</v>
      </c>
      <c r="M30" s="341">
        <v>0.1</v>
      </c>
      <c r="N30" s="76"/>
      <c r="O30" s="76"/>
      <c r="P30" s="76"/>
      <c r="Q30" s="76"/>
      <c r="R30" s="76"/>
      <c r="S30" s="84">
        <f t="shared" si="19"/>
        <v>0</v>
      </c>
      <c r="T30" s="79"/>
      <c r="U30" s="78"/>
      <c r="V30" s="78"/>
      <c r="W30" s="74">
        <f t="shared" si="27"/>
        <v>0</v>
      </c>
      <c r="X30" s="74">
        <f t="shared" si="24"/>
        <v>0</v>
      </c>
      <c r="Y30" s="74">
        <f t="shared" si="20"/>
        <v>0</v>
      </c>
      <c r="Z30" s="74">
        <f t="shared" si="21"/>
        <v>0</v>
      </c>
      <c r="AC30" s="74">
        <f t="shared" si="22"/>
        <v>0</v>
      </c>
      <c r="AD30" s="80">
        <f t="shared" si="23"/>
        <v>0</v>
      </c>
    </row>
    <row r="31" spans="2:30" ht="30" customHeight="1" thickBot="1">
      <c r="B31" s="779"/>
      <c r="D31" s="776"/>
      <c r="E31" s="606" t="s">
        <v>676</v>
      </c>
      <c r="F31" s="619" t="s">
        <v>565</v>
      </c>
      <c r="G31" s="610"/>
      <c r="H31" s="322" t="s">
        <v>677</v>
      </c>
      <c r="I31" s="324"/>
      <c r="J31" s="329">
        <f>Painokertoimet!M29</f>
        <v>2.2113888888888886</v>
      </c>
      <c r="K31" s="335">
        <f t="shared" ref="K31:K36" si="28">I31</f>
        <v>0</v>
      </c>
      <c r="L31" s="327">
        <f>I31*J31</f>
        <v>0</v>
      </c>
      <c r="M31" s="331">
        <v>0.1</v>
      </c>
      <c r="N31" s="76"/>
      <c r="O31" s="76"/>
      <c r="P31" s="76"/>
      <c r="Q31" s="76"/>
      <c r="R31" s="76"/>
      <c r="S31" s="84">
        <f t="shared" si="19"/>
        <v>0</v>
      </c>
      <c r="T31" s="79"/>
      <c r="U31" s="78"/>
      <c r="V31" s="78"/>
      <c r="W31" s="74">
        <f t="shared" si="27"/>
        <v>0</v>
      </c>
      <c r="X31" s="74">
        <f t="shared" si="24"/>
        <v>0</v>
      </c>
      <c r="Y31" s="74">
        <f t="shared" si="20"/>
        <v>0</v>
      </c>
      <c r="Z31" s="74">
        <f t="shared" si="21"/>
        <v>0</v>
      </c>
      <c r="AC31" s="74">
        <f t="shared" si="22"/>
        <v>0</v>
      </c>
      <c r="AD31" s="80">
        <f t="shared" si="23"/>
        <v>0</v>
      </c>
    </row>
    <row r="32" spans="2:30" ht="30" customHeight="1" thickBot="1">
      <c r="D32" s="776"/>
      <c r="E32" s="606" t="s">
        <v>678</v>
      </c>
      <c r="F32" s="788" t="s">
        <v>560</v>
      </c>
      <c r="G32" s="789"/>
      <c r="H32" s="322" t="s">
        <v>679</v>
      </c>
      <c r="I32" s="324"/>
      <c r="J32" s="327">
        <f>Painokertoimet!M30</f>
        <v>1.5399305555555554</v>
      </c>
      <c r="K32" s="335">
        <f t="shared" si="28"/>
        <v>0</v>
      </c>
      <c r="L32" s="327">
        <f>I32*J32</f>
        <v>0</v>
      </c>
      <c r="M32" s="331">
        <v>0.1</v>
      </c>
      <c r="N32" s="76"/>
      <c r="O32" s="76"/>
      <c r="P32" s="76"/>
      <c r="Q32" s="76"/>
      <c r="R32" s="76"/>
      <c r="S32" s="84">
        <f t="shared" si="19"/>
        <v>0</v>
      </c>
      <c r="T32" s="78"/>
      <c r="U32" s="78"/>
      <c r="W32" s="74">
        <f t="shared" si="27"/>
        <v>0</v>
      </c>
      <c r="X32" s="74">
        <f t="shared" ref="X32:X33" si="29">T32*M32</f>
        <v>0</v>
      </c>
      <c r="Y32" s="74">
        <f t="shared" si="20"/>
        <v>0</v>
      </c>
      <c r="Z32" s="74">
        <f t="shared" si="21"/>
        <v>0</v>
      </c>
      <c r="AC32" s="74">
        <f t="shared" si="22"/>
        <v>0</v>
      </c>
      <c r="AD32" s="80">
        <f t="shared" si="23"/>
        <v>0</v>
      </c>
    </row>
    <row r="33" spans="2:30" ht="30" customHeight="1" thickBot="1">
      <c r="B33" s="344" t="s">
        <v>680</v>
      </c>
      <c r="D33" s="776"/>
      <c r="E33" s="606" t="s">
        <v>681</v>
      </c>
      <c r="F33" s="619" t="s">
        <v>189</v>
      </c>
      <c r="G33" s="610"/>
      <c r="H33" s="322" t="s">
        <v>682</v>
      </c>
      <c r="I33" s="324"/>
      <c r="J33" s="327">
        <f>Painokertoimet!M31</f>
        <v>2.8413194444444443</v>
      </c>
      <c r="K33" s="335">
        <f t="shared" si="28"/>
        <v>0</v>
      </c>
      <c r="L33" s="327">
        <f>I33*J33</f>
        <v>0</v>
      </c>
      <c r="M33" s="331">
        <v>0.1</v>
      </c>
      <c r="N33" s="76"/>
      <c r="O33" s="86"/>
      <c r="P33" s="76"/>
      <c r="Q33" s="76"/>
      <c r="R33" s="76"/>
      <c r="S33" s="84">
        <f t="shared" si="19"/>
        <v>0</v>
      </c>
      <c r="T33" s="79"/>
      <c r="U33" s="78"/>
      <c r="V33" s="78"/>
      <c r="W33" s="74">
        <f t="shared" si="27"/>
        <v>0</v>
      </c>
      <c r="X33" s="74">
        <f t="shared" si="29"/>
        <v>0</v>
      </c>
      <c r="Y33" s="74">
        <f t="shared" si="20"/>
        <v>0</v>
      </c>
      <c r="Z33" s="74">
        <f t="shared" si="21"/>
        <v>0</v>
      </c>
      <c r="AC33" s="74">
        <f t="shared" si="22"/>
        <v>0</v>
      </c>
      <c r="AD33" s="80">
        <f t="shared" si="23"/>
        <v>0</v>
      </c>
    </row>
    <row r="34" spans="2:30" ht="30" customHeight="1" thickBot="1">
      <c r="B34" s="345" t="str">
        <f>IF(Avgränsningar!D3&gt;0,Avgränsningar!D3,"-")</f>
        <v>-</v>
      </c>
      <c r="D34" s="776"/>
      <c r="E34" s="606" t="s">
        <v>683</v>
      </c>
      <c r="F34" s="620" t="s">
        <v>257</v>
      </c>
      <c r="G34" s="621"/>
      <c r="H34" s="322" t="s">
        <v>684</v>
      </c>
      <c r="I34" s="324"/>
      <c r="J34" s="329">
        <f>Painokertoimet!M32</f>
        <v>2.4117361111111109</v>
      </c>
      <c r="K34" s="335">
        <f>I34</f>
        <v>0</v>
      </c>
      <c r="L34" s="327">
        <f>I34*J34</f>
        <v>0</v>
      </c>
      <c r="M34" s="331">
        <v>0.1</v>
      </c>
      <c r="N34" s="74"/>
      <c r="O34" s="74"/>
      <c r="Q34" s="88"/>
      <c r="S34" s="77"/>
      <c r="T34" s="78"/>
      <c r="U34" s="78"/>
      <c r="V34" s="79">
        <f>K34</f>
        <v>0</v>
      </c>
      <c r="W34" s="74">
        <f>S34*M34</f>
        <v>0</v>
      </c>
      <c r="X34" s="74">
        <f>T34*M34</f>
        <v>0</v>
      </c>
      <c r="Y34" s="74">
        <f>U34*M34</f>
        <v>0</v>
      </c>
      <c r="Z34" s="74">
        <f>V34*M34</f>
        <v>0</v>
      </c>
      <c r="AC34" s="74">
        <f>K34*M34</f>
        <v>0</v>
      </c>
      <c r="AD34" s="80">
        <f>K34*M34</f>
        <v>0</v>
      </c>
    </row>
    <row r="35" spans="2:30" ht="30" customHeight="1" thickBot="1">
      <c r="B35" s="346" t="s">
        <v>685</v>
      </c>
      <c r="D35" s="776"/>
      <c r="E35" s="606" t="s">
        <v>686</v>
      </c>
      <c r="F35" s="619" t="s">
        <v>440</v>
      </c>
      <c r="G35" s="622"/>
      <c r="H35" s="322" t="s">
        <v>332</v>
      </c>
      <c r="I35" s="324"/>
      <c r="J35" s="327">
        <f>Painokertoimet!M33</f>
        <v>1.6041666666666665</v>
      </c>
      <c r="K35" s="335">
        <f t="shared" si="28"/>
        <v>0</v>
      </c>
      <c r="L35" s="327">
        <f>I35*10*J35</f>
        <v>0</v>
      </c>
      <c r="M35" s="331" t="s">
        <v>687</v>
      </c>
      <c r="N35" s="74"/>
      <c r="Q35" s="88"/>
      <c r="S35" s="84"/>
      <c r="T35" s="79"/>
      <c r="U35" s="78"/>
      <c r="V35" s="78"/>
      <c r="AD35" s="80"/>
    </row>
    <row r="36" spans="2:30" ht="30" customHeight="1" thickBot="1">
      <c r="B36" s="347" t="str">
        <f>IF(Avgränsningar!B3&gt;0,Avgränsningar!B3,"-")</f>
        <v>-</v>
      </c>
      <c r="D36" s="611" t="s">
        <v>688</v>
      </c>
      <c r="E36" s="606" t="s">
        <v>689</v>
      </c>
      <c r="F36" s="623" t="s">
        <v>262</v>
      </c>
      <c r="G36" s="624"/>
      <c r="H36" s="323" t="s">
        <v>690</v>
      </c>
      <c r="I36" s="325"/>
      <c r="J36" s="328">
        <f>Painokertoimet!M34</f>
        <v>1.364236111111111</v>
      </c>
      <c r="K36" s="336">
        <f t="shared" si="28"/>
        <v>0</v>
      </c>
      <c r="L36" s="328" t="s">
        <v>691</v>
      </c>
      <c r="M36" s="342" t="s">
        <v>692</v>
      </c>
      <c r="N36" s="74"/>
      <c r="O36" s="43" t="s">
        <v>331</v>
      </c>
      <c r="Q36" s="88"/>
      <c r="S36" s="83"/>
      <c r="AA36" s="201" t="s">
        <v>170</v>
      </c>
      <c r="AD36" s="80"/>
    </row>
    <row r="37" spans="2:30" ht="30" customHeight="1">
      <c r="B37" s="346" t="s">
        <v>237</v>
      </c>
      <c r="D37" s="780" t="s">
        <v>18</v>
      </c>
      <c r="E37" s="781"/>
      <c r="F37" s="625" t="s">
        <v>348</v>
      </c>
      <c r="G37" s="626"/>
      <c r="H37" s="337" t="s">
        <v>693</v>
      </c>
      <c r="I37" s="338"/>
      <c r="J37" s="339">
        <f>Painokertoimet!M35</f>
        <v>0.66388888888888875</v>
      </c>
      <c r="K37" s="339">
        <f t="shared" ref="K37:K38" si="30">I37</f>
        <v>0</v>
      </c>
      <c r="L37" s="339">
        <f>I37*J37</f>
        <v>0</v>
      </c>
      <c r="M37" s="343" t="s">
        <v>243</v>
      </c>
      <c r="N37" s="74"/>
      <c r="P37" s="244"/>
      <c r="Q37" s="88"/>
      <c r="S37" s="196">
        <f>SUM(S3:S36)</f>
        <v>0</v>
      </c>
      <c r="T37" s="197">
        <f>SUM(T3:T36)</f>
        <v>0</v>
      </c>
      <c r="U37" s="197">
        <f>SUM(U3:U36)</f>
        <v>0</v>
      </c>
      <c r="V37" s="197">
        <f>SUM(V3:V36)</f>
        <v>0</v>
      </c>
      <c r="W37" s="198">
        <f>IFERROR(SUM(W3:W36)/S37,0)</f>
        <v>0</v>
      </c>
      <c r="X37" s="198">
        <f>IFERROR(((SUM(X3:X36))*((T37-U37-V37)/T37)/(T37-U37-V37)),0)</f>
        <v>0</v>
      </c>
      <c r="Y37" s="198">
        <f>IFERROR(SUM(Y3:Y36)/U37,0)</f>
        <v>0</v>
      </c>
      <c r="Z37" s="198">
        <f>IFERROR(SUM(Z3:Z36)/V37,0)</f>
        <v>0</v>
      </c>
      <c r="AA37" s="199" t="e">
        <f>(W37*S37+X37*T37+Y37*U37+Z37*V37)/SUM(S37:V37)</f>
        <v>#DIV/0!</v>
      </c>
      <c r="AB37" s="198"/>
      <c r="AC37" s="198" t="e">
        <f>SUM(AC3:AC36)/(SUM($K$3:$K$36)-$K$23-$K$35-$K$36)</f>
        <v>#DIV/0!</v>
      </c>
      <c r="AD37" s="200" t="e">
        <f>SUM(AD3:AD36)/(SUM($K$11:$K$36)-$K$23-$K$35-$K$36)</f>
        <v>#DIV/0!</v>
      </c>
    </row>
    <row r="38" spans="2:30" ht="30" customHeight="1">
      <c r="B38" s="347" t="str">
        <f>IF(Avgränsningar!B6&gt;0,Avgränsningar!B6,"-")</f>
        <v>-</v>
      </c>
      <c r="D38" s="782"/>
      <c r="E38" s="783"/>
      <c r="F38" s="627" t="s">
        <v>349</v>
      </c>
      <c r="G38" s="628"/>
      <c r="H38" s="322" t="s">
        <v>694</v>
      </c>
      <c r="I38" s="324"/>
      <c r="J38" s="327">
        <f>Painokertoimet!M36</f>
        <v>0.83263888888888871</v>
      </c>
      <c r="K38" s="327">
        <f t="shared" si="30"/>
        <v>0</v>
      </c>
      <c r="L38" s="327">
        <f>I38*J38</f>
        <v>0</v>
      </c>
      <c r="M38" s="333" t="s">
        <v>695</v>
      </c>
      <c r="N38" s="74"/>
      <c r="O38" s="95" t="str">
        <f>IF(ISBLANK(P38),"esim. kivetty pinta, jolta hulevedet johdetaan kivipuron kautta lampeen, jossa on ylivuoto veden vaihtumisen mahdollistamiseksi",P38)</f>
        <v>esim. kivetty pinta, jolta hulevedet johdetaan kivipuron kautta lampeen, jossa on ylivuoto veden vaihtumisen mahdollistamiseksi</v>
      </c>
      <c r="P38" s="96"/>
      <c r="Q38" s="88"/>
      <c r="S38" s="83"/>
      <c r="U38" s="89">
        <f>U37-U15</f>
        <v>0</v>
      </c>
      <c r="AD38" s="80"/>
    </row>
    <row r="39" spans="2:30" ht="30" customHeight="1">
      <c r="B39" s="348" t="s">
        <v>696</v>
      </c>
      <c r="D39" s="782"/>
      <c r="E39" s="783"/>
      <c r="F39" s="627" t="s">
        <v>156</v>
      </c>
      <c r="G39" s="629"/>
      <c r="H39" s="322" t="s">
        <v>697</v>
      </c>
      <c r="I39" s="324"/>
      <c r="J39" s="327">
        <f>Painokertoimet!M37</f>
        <v>0.89548611111111109</v>
      </c>
      <c r="K39" s="327">
        <f>I39*25</f>
        <v>0</v>
      </c>
      <c r="L39" s="327">
        <f>I39*25*J39</f>
        <v>0</v>
      </c>
      <c r="M39" s="333" t="s">
        <v>698</v>
      </c>
      <c r="N39" s="74"/>
      <c r="O39" s="95" t="str">
        <f>IF(ISBLANK(P39),"esim. kolme lehmusta rakennuksen lounaispuolella",P39)</f>
        <v>esim. kolme lehmusta rakennuksen lounaispuolella</v>
      </c>
      <c r="P39" s="96"/>
      <c r="Q39" s="88"/>
      <c r="S39" s="90"/>
      <c r="T39" s="87"/>
      <c r="U39" s="87" t="str">
        <f>IF(U38=0,"- Ei säilytettäviä tai istutettavia puita, on suositeltavaa lisätä joko säilytettäviä tai istutettavia puita","")</f>
        <v>- Ei säilytettäviä tai istutettavia puita, on suositeltavaa lisätä joko säilytettäviä tai istutettavia puita</v>
      </c>
      <c r="V39" s="87"/>
      <c r="W39" s="87"/>
      <c r="X39" s="87"/>
      <c r="Y39" s="87"/>
      <c r="Z39" s="87"/>
      <c r="AA39" s="87"/>
      <c r="AB39" s="87"/>
      <c r="AC39" s="87"/>
      <c r="AD39" s="91"/>
    </row>
    <row r="40" spans="2:30" ht="30" customHeight="1">
      <c r="B40" s="349" t="str">
        <f>IF(Avgränsningar!F6&gt;0,Avgränsningar!F6,"-")</f>
        <v>-</v>
      </c>
      <c r="D40" s="782"/>
      <c r="E40" s="783"/>
      <c r="F40" s="627" t="s">
        <v>155</v>
      </c>
      <c r="G40" s="629"/>
      <c r="H40" s="322" t="s">
        <v>699</v>
      </c>
      <c r="I40" s="324"/>
      <c r="J40" s="327">
        <f>Painokertoimet!M38</f>
        <v>0.89548611111111109</v>
      </c>
      <c r="K40" s="327">
        <f>I40*15</f>
        <v>0</v>
      </c>
      <c r="L40" s="327">
        <f>I40*15*J40</f>
        <v>0</v>
      </c>
      <c r="M40" s="333" t="s">
        <v>700</v>
      </c>
      <c r="N40" s="74"/>
      <c r="O40" s="95" t="str">
        <f>IF(ISBLANK(P40),"esim. kolme pihlajaa talon B lounaispuolella",P40)</f>
        <v>esim. kolme pihlajaa talon B lounaispuolella</v>
      </c>
      <c r="P40" s="96"/>
      <c r="Q40" s="88"/>
      <c r="S40" s="92"/>
      <c r="T40" s="92"/>
    </row>
    <row r="41" spans="2:30" ht="30" customHeight="1">
      <c r="B41" s="348" t="s">
        <v>701</v>
      </c>
      <c r="D41" s="782"/>
      <c r="E41" s="783"/>
      <c r="F41" s="627" t="s">
        <v>347</v>
      </c>
      <c r="G41" s="629"/>
      <c r="H41" s="322" t="s">
        <v>702</v>
      </c>
      <c r="I41" s="324"/>
      <c r="J41" s="327">
        <f>Painokertoimet!M39</f>
        <v>0.98402777777777772</v>
      </c>
      <c r="K41" s="327">
        <f>I41*10</f>
        <v>0</v>
      </c>
      <c r="L41" s="327">
        <f>I41*15*J41</f>
        <v>0</v>
      </c>
      <c r="M41" s="333" t="s">
        <v>703</v>
      </c>
      <c r="N41" s="74"/>
      <c r="O41" s="95" t="str">
        <f>IF(ISBLANK(P41),"esim. kaksi omenapuuta ja neljä mustaherukkapensasta pihan keskellä",P41)</f>
        <v>esim. kaksi omenapuuta ja neljä mustaherukkapensasta pihan keskellä</v>
      </c>
      <c r="P41" s="96"/>
      <c r="Q41" s="88"/>
      <c r="S41" s="92"/>
      <c r="T41" s="92"/>
    </row>
    <row r="42" spans="2:30" ht="30" customHeight="1">
      <c r="B42" s="350" t="str">
        <f>IF(Avgränsningar!D6&gt;0,Avgränsningar!D6,"-")</f>
        <v>-</v>
      </c>
      <c r="D42" s="782"/>
      <c r="E42" s="783"/>
      <c r="F42" s="627" t="s">
        <v>268</v>
      </c>
      <c r="G42" s="629"/>
      <c r="H42" s="322" t="s">
        <v>704</v>
      </c>
      <c r="I42" s="324"/>
      <c r="J42" s="327">
        <f>Painokertoimet!M40</f>
        <v>0.71145833333333319</v>
      </c>
      <c r="K42" s="327">
        <f t="shared" ref="K42:K44" si="31">I42</f>
        <v>0</v>
      </c>
      <c r="L42" s="327">
        <f>I42*J42</f>
        <v>0</v>
      </c>
      <c r="M42" s="333" t="s">
        <v>705</v>
      </c>
      <c r="N42" s="74"/>
      <c r="O42" s="95" t="str">
        <f>IF(ISBLANK(P42),"esim. turvahiekka leikkipaikalla",P42)</f>
        <v>esim. turvahiekka leikkipaikalla</v>
      </c>
      <c r="P42" s="96"/>
      <c r="Q42" s="88"/>
      <c r="S42" s="92"/>
      <c r="T42" s="92"/>
    </row>
    <row r="43" spans="2:30" ht="30" customHeight="1" thickBot="1">
      <c r="D43" s="784"/>
      <c r="E43" s="785"/>
      <c r="F43" s="627" t="s">
        <v>488</v>
      </c>
      <c r="G43" s="629"/>
      <c r="H43" s="322" t="s">
        <v>706</v>
      </c>
      <c r="I43" s="632"/>
      <c r="J43" s="327">
        <f>Painokertoimet!M41</f>
        <v>0.66388888888888875</v>
      </c>
      <c r="K43" s="327">
        <f t="shared" si="31"/>
        <v>0</v>
      </c>
      <c r="L43" s="327">
        <f t="shared" ref="L43:L44" si="32">I43*J43</f>
        <v>0</v>
      </c>
      <c r="M43" s="333" t="s">
        <v>707</v>
      </c>
      <c r="N43" s="74"/>
      <c r="O43" s="95"/>
      <c r="P43" s="96"/>
      <c r="Q43" s="88"/>
      <c r="S43" s="92"/>
      <c r="T43" s="92"/>
    </row>
    <row r="44" spans="2:30" ht="30" customHeight="1" thickBot="1">
      <c r="D44" s="768" t="s">
        <v>708</v>
      </c>
      <c r="E44" s="769"/>
      <c r="F44" s="630" t="s">
        <v>487</v>
      </c>
      <c r="G44" s="631"/>
      <c r="H44" s="323" t="s">
        <v>486</v>
      </c>
      <c r="I44" s="633"/>
      <c r="J44" s="328">
        <f>Painokertoimet!M42</f>
        <v>0.51249999999999996</v>
      </c>
      <c r="K44" s="328">
        <f t="shared" si="31"/>
        <v>0</v>
      </c>
      <c r="L44" s="328">
        <f t="shared" si="32"/>
        <v>0</v>
      </c>
      <c r="M44" s="564" t="s">
        <v>709</v>
      </c>
      <c r="N44" s="74"/>
      <c r="O44" s="95"/>
      <c r="P44" s="96"/>
      <c r="Q44" s="88"/>
      <c r="S44" s="92"/>
      <c r="T44" s="92"/>
    </row>
    <row r="45" spans="2:30" ht="30" customHeight="1">
      <c r="F45" s="271"/>
      <c r="N45" s="74"/>
      <c r="O45" s="95"/>
      <c r="P45" s="96"/>
      <c r="Q45" s="88"/>
      <c r="S45" s="92"/>
      <c r="T45" s="92"/>
    </row>
    <row r="46" spans="2:30" ht="30" customHeight="1" thickBot="1">
      <c r="F46" s="269"/>
      <c r="G46" s="94"/>
      <c r="N46" s="74"/>
      <c r="O46" s="96"/>
      <c r="Q46" s="88"/>
      <c r="S46" s="92"/>
      <c r="T46" s="92"/>
    </row>
    <row r="47" spans="2:30" ht="30" customHeight="1" thickBot="1">
      <c r="D47" s="634" t="s">
        <v>250</v>
      </c>
      <c r="E47" s="635"/>
      <c r="F47" s="636"/>
      <c r="G47" s="637"/>
      <c r="H47" s="635"/>
      <c r="I47" s="635"/>
      <c r="J47" s="635"/>
      <c r="K47" s="638"/>
      <c r="L47" s="19"/>
      <c r="M47" s="634" t="s">
        <v>710</v>
      </c>
      <c r="N47" s="19"/>
      <c r="O47" s="19"/>
      <c r="Q47" s="88"/>
      <c r="S47" s="92"/>
      <c r="T47" s="92"/>
    </row>
    <row r="48" spans="2:30" ht="30" customHeight="1">
      <c r="D48" s="635"/>
      <c r="E48" s="635"/>
      <c r="F48" s="635"/>
      <c r="G48" s="635"/>
      <c r="H48" s="635"/>
      <c r="I48" s="635"/>
      <c r="J48" s="635"/>
      <c r="K48" s="638"/>
      <c r="L48" s="19"/>
      <c r="M48" s="19"/>
      <c r="N48" s="19"/>
      <c r="O48" s="19"/>
      <c r="S48" s="92"/>
      <c r="T48" s="92"/>
    </row>
    <row r="49" spans="4:17" ht="30" customHeight="1">
      <c r="D49" s="635"/>
      <c r="E49" s="635"/>
      <c r="F49" s="635"/>
      <c r="G49" s="635"/>
      <c r="H49" s="635"/>
      <c r="I49" s="635"/>
      <c r="J49" s="635"/>
      <c r="K49" s="638"/>
      <c r="L49" s="19"/>
      <c r="M49" s="19"/>
      <c r="N49" s="19"/>
      <c r="O49" s="19"/>
      <c r="Q49" s="20"/>
    </row>
    <row r="50" spans="4:17" ht="30" customHeight="1">
      <c r="D50" s="635"/>
      <c r="E50" s="635"/>
      <c r="F50" s="635"/>
      <c r="G50" s="635"/>
      <c r="H50" s="635"/>
      <c r="I50" s="635"/>
      <c r="J50" s="635"/>
      <c r="K50" s="638"/>
      <c r="L50" s="19"/>
      <c r="M50" s="19"/>
      <c r="N50" s="19"/>
      <c r="O50" s="19"/>
    </row>
    <row r="51" spans="4:17" ht="30" customHeight="1">
      <c r="D51" s="635"/>
      <c r="E51" s="635"/>
      <c r="F51" s="635"/>
      <c r="G51" s="635"/>
      <c r="H51" s="635"/>
      <c r="I51" s="635"/>
      <c r="J51" s="635"/>
      <c r="K51" s="638"/>
      <c r="L51" s="19"/>
      <c r="M51" s="19"/>
      <c r="N51" s="19"/>
      <c r="O51" s="19"/>
    </row>
    <row r="52" spans="4:17" ht="15">
      <c r="D52" s="635"/>
      <c r="E52" s="635"/>
      <c r="F52" s="635"/>
      <c r="G52" s="635"/>
      <c r="H52" s="635"/>
      <c r="I52" s="635"/>
      <c r="J52" s="635"/>
      <c r="K52" s="638"/>
      <c r="L52" s="19"/>
      <c r="M52" s="19"/>
      <c r="N52" s="19"/>
      <c r="O52" s="19"/>
    </row>
    <row r="53" spans="4:17" ht="15">
      <c r="D53" s="635"/>
      <c r="E53" s="635"/>
      <c r="F53" s="635"/>
      <c r="G53" s="635"/>
      <c r="H53" s="635"/>
      <c r="I53" s="635"/>
      <c r="J53" s="635"/>
      <c r="K53" s="638"/>
      <c r="L53" s="19"/>
      <c r="M53" s="19"/>
      <c r="N53" s="19"/>
      <c r="O53" s="19"/>
    </row>
  </sheetData>
  <sheetProtection algorithmName="SHA-512" hashValue="5UHuM78/U+QFFiXB8HKKQ12LNZfSW1jJG3biqvfabBo+Qfr4D7NAGw0n0t0/J3V7DBNuMqaGkOihx49OEfiJ4Q==" saltValue="ak+DExkqXWmOnWmo3KMfVw==" spinCount="100000" sheet="1" objects="1" scenarios="1"/>
  <customSheetViews>
    <customSheetView guid="{C0826E8D-7112-6B45-A18A-1E6622F31D95}" scale="110" fitToPage="1" hiddenColumns="1">
      <selection activeCell="M8" sqref="M8"/>
      <pageMargins left="0.7" right="0.7" top="0.75" bottom="0.75" header="0.3" footer="0.3"/>
      <pageSetup paperSize="8" scale="80" orientation="landscape" r:id="rId1"/>
    </customSheetView>
  </customSheetViews>
  <mergeCells count="29">
    <mergeCell ref="F3:F6"/>
    <mergeCell ref="F21:G21"/>
    <mergeCell ref="F22:G22"/>
    <mergeCell ref="D3:D9"/>
    <mergeCell ref="E3:E9"/>
    <mergeCell ref="E11:E14"/>
    <mergeCell ref="D11:D21"/>
    <mergeCell ref="E15:E21"/>
    <mergeCell ref="F29:G29"/>
    <mergeCell ref="F32:G32"/>
    <mergeCell ref="F7:G7"/>
    <mergeCell ref="F11:F14"/>
    <mergeCell ref="F16:G16"/>
    <mergeCell ref="F17:G17"/>
    <mergeCell ref="F18:G18"/>
    <mergeCell ref="F19:G19"/>
    <mergeCell ref="F20:G20"/>
    <mergeCell ref="F15:G15"/>
    <mergeCell ref="B11:B12"/>
    <mergeCell ref="D44:E44"/>
    <mergeCell ref="D2:E2"/>
    <mergeCell ref="D10:E10"/>
    <mergeCell ref="D22:E22"/>
    <mergeCell ref="D27:D28"/>
    <mergeCell ref="D23:D25"/>
    <mergeCell ref="D30:D35"/>
    <mergeCell ref="D29:E29"/>
    <mergeCell ref="B20:B31"/>
    <mergeCell ref="D37:E43"/>
  </mergeCells>
  <phoneticPr fontId="13" type="noConversion"/>
  <hyperlinks>
    <hyperlink ref="E26" location="'Hulevesiratkaisujen lisätiedot'!A2" display="i" xr:uid="{00000000-0004-0000-0200-000000000000}"/>
    <hyperlink ref="E27" location="'Hulevesiratkaisujen lisätiedot'!A6" display="i" xr:uid="{00000000-0004-0000-0200-000001000000}"/>
    <hyperlink ref="E28" location="'Hulevesiratkaisujen lisätiedot'!A6" display="i" xr:uid="{00000000-0004-0000-0200-000002000000}"/>
    <hyperlink ref="E30" location="'Mer om elementen'!A20" display="i" xr:uid="{00000000-0004-0000-0200-000004000000}"/>
    <hyperlink ref="E23" location="'Mer om elementen'!A8" display="i" xr:uid="{00000000-0004-0000-0200-000005000000}"/>
    <hyperlink ref="E24" location="'Hulevesiratkaisujen lisätiedot'!A2" display="i" xr:uid="{00000000-0004-0000-0200-000006000000}"/>
    <hyperlink ref="E25" location="'Hulevesiratkaisujen lisätiedot'!A2" display="i" xr:uid="{00000000-0004-0000-0200-000007000000}"/>
    <hyperlink ref="E31" location="'Mer om elementen'!A12" display="i" xr:uid="{00000000-0004-0000-0200-000008000000}"/>
    <hyperlink ref="E32" location="'Mer om elementen'!A14" display="i" xr:uid="{00000000-0004-0000-0200-000009000000}"/>
    <hyperlink ref="E33" location="'Mer om elementen'!A22" display="i" xr:uid="{00000000-0004-0000-0200-00000A000000}"/>
    <hyperlink ref="D47" location="'Avgränsningar'!A1" display="Edellinen" xr:uid="{C73AAF0A-9853-024F-956A-BC9E99E0D5E3}"/>
    <hyperlink ref="M47" location="'Naturräknare'!A1" display="Seuraava" xr:uid="{9FEA6423-CE35-4844-BC85-C05C697A05FA}"/>
    <hyperlink ref="D10" location="Lisatietoa!A2" display="Lisätietoa" xr:uid="{0DDD0D9D-42C7-CF4E-A61E-CA12A038346A}"/>
    <hyperlink ref="D22" location="Lisatietoa!A7" display="Lisätietoa" xr:uid="{1C3A662C-A501-CD4E-A50D-C8081CD3F0FA}"/>
    <hyperlink ref="D29" location="Lisätietoa!B22" display="Lisätietoa" xr:uid="{2025F559-973A-124D-A1C9-B6873D807D42}"/>
    <hyperlink ref="D36" location="'Mer om grönkoefficienten'!B24" display="Lisätietoa" xr:uid="{B1C7C9BA-991F-1E43-9FD2-C3101B45C0AE}"/>
    <hyperlink ref="D44" location="Lisatietoa!A29" display="Lisätietoa" xr:uid="{ED1D4EF0-4E92-1447-9DC5-375614C04DBB}"/>
    <hyperlink ref="E36" location="'Mer om elementen'!A26" display="i" xr:uid="{A48D64C6-2667-3C4B-9A87-28ED4D1F031F}"/>
    <hyperlink ref="D26" location="'Mer om grönkoefficienten'!B18" display="Lisätietoa" xr:uid="{6573C179-6FB7-44E5-BDB4-798AFDD0C538}"/>
    <hyperlink ref="E35" location="'Mer om elementen'!A28" display="i" xr:uid="{7C798A44-2CE8-6B42-B844-375A1AADF0A7}"/>
    <hyperlink ref="D10:E10" location="'Mer om grönkoefficienten'!B2" display="Lisätietoa" xr:uid="{9F964434-D205-7F49-96E5-A2D64DB8D5D8}"/>
    <hyperlink ref="D22:E22" location="'Mer om grönkoefficienten'!B8" display="Lisätietoa" xr:uid="{779F386D-072E-0040-B5A3-310A392B2015}"/>
    <hyperlink ref="D44:E44" location="'Mer om grönkoefficienten'!B32" display="Lisätietoa" xr:uid="{F794EA5C-FD53-6549-B96B-E0344E997B6C}"/>
    <hyperlink ref="D29:E29" location="'Mer om grönkoefficienten'!B22" display="Lisätietoa" xr:uid="{4D5F20C7-DF00-6B40-99BE-E4C1C1FFCAAC}"/>
    <hyperlink ref="E34" location="'Mer om elementen'!A18" display="i" xr:uid="{00000000-0004-0000-0200-00000C000000}"/>
    <hyperlink ref="E3:E9" location="'Mer om elementen'!A2" display="i" xr:uid="{D477A3FC-D7AE-974B-8553-D5D3BF70F5D5}"/>
    <hyperlink ref="E11:E14" location="'Mer om elementen'!A4" display="i" xr:uid="{C296D36F-0039-1640-AA9A-184617A1B2C2}"/>
    <hyperlink ref="E24:E26" location="'Mer om elementen'!A6" display="i" xr:uid="{B4CD0C61-FA5C-D440-9130-5C4A23482A30}"/>
    <hyperlink ref="E27:E28" location="'Mer om elementen'!A10" display="i" xr:uid="{0D8C87D5-7439-714A-837D-BCDCD76CE09E}"/>
  </hyperlinks>
  <pageMargins left="0.7" right="0.7" top="0.75" bottom="0.75" header="0.3" footer="0.3"/>
  <pageSetup paperSize="8" scale="80" orientation="landscape" r:id="rId2"/>
  <ignoredErrors>
    <ignoredError sqref="K22:L22 L8" formula="1"/>
    <ignoredError sqref="B13 B17" evalError="1"/>
  </ignoredError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161D56-F377-4C45-A409-BF319DD00EAC}">
  <sheetPr codeName="Taul4">
    <tabColor rgb="FFA6D9C4"/>
  </sheetPr>
  <dimension ref="A1:K68"/>
  <sheetViews>
    <sheetView showGridLines="0" zoomScaleNormal="100" workbookViewId="0"/>
  </sheetViews>
  <sheetFormatPr defaultColWidth="11.42578125" defaultRowHeight="15"/>
  <cols>
    <col min="1" max="1" width="3.28515625" customWidth="1"/>
    <col min="2" max="2" width="20.85546875" customWidth="1"/>
    <col min="3" max="3" width="36.42578125" customWidth="1"/>
    <col min="4" max="4" width="109.42578125" customWidth="1"/>
    <col min="5" max="5" width="5.85546875" customWidth="1"/>
    <col min="6" max="7" width="15.85546875" customWidth="1"/>
    <col min="8" max="8" width="10.85546875" customWidth="1"/>
    <col min="9" max="9" width="60.85546875" customWidth="1"/>
    <col min="10" max="10" width="10.85546875" customWidth="1"/>
    <col min="11" max="11" width="50.85546875" customWidth="1"/>
    <col min="12" max="12" width="10.85546875" customWidth="1"/>
  </cols>
  <sheetData>
    <row r="1" spans="2:10" ht="20.100000000000001" customHeight="1" thickBot="1"/>
    <row r="2" spans="2:10" s="249" customFormat="1" ht="60" customHeight="1" thickBot="1">
      <c r="B2" s="802" t="s">
        <v>373</v>
      </c>
      <c r="C2" s="803"/>
      <c r="D2" s="803"/>
      <c r="E2" s="803"/>
      <c r="F2" s="804"/>
      <c r="G2" s="805"/>
      <c r="H2" s="254"/>
      <c r="I2" s="375" t="s">
        <v>397</v>
      </c>
      <c r="J2"/>
    </row>
    <row r="3" spans="2:10" ht="30" customHeight="1" thickBot="1">
      <c r="B3" s="360" t="s">
        <v>408</v>
      </c>
      <c r="C3" s="358" t="s">
        <v>410</v>
      </c>
      <c r="D3" s="351"/>
      <c r="E3" s="359"/>
      <c r="F3" s="364" t="s">
        <v>711</v>
      </c>
      <c r="G3" s="352" t="s">
        <v>389</v>
      </c>
      <c r="H3" s="255"/>
      <c r="I3" s="817" t="str">
        <f>IF(I34&gt;-2,I39,"Luontolaskuria ei täytetty")</f>
        <v>Luontolaskuria ei täytetty</v>
      </c>
    </row>
    <row r="4" spans="2:10" ht="30" customHeight="1" thickBot="1">
      <c r="B4" s="810" t="s">
        <v>433</v>
      </c>
      <c r="C4" s="807" t="s">
        <v>393</v>
      </c>
      <c r="D4" s="807"/>
      <c r="E4" s="321" t="s">
        <v>712</v>
      </c>
      <c r="F4" s="370" t="s">
        <v>713</v>
      </c>
      <c r="G4" s="353" t="str">
        <f>G33&amp;" / 3"</f>
        <v>0 / 3</v>
      </c>
      <c r="H4" s="255"/>
      <c r="I4" s="817"/>
    </row>
    <row r="5" spans="2:10" ht="30" customHeight="1" thickBot="1">
      <c r="B5" s="811"/>
      <c r="C5" s="806" t="s">
        <v>424</v>
      </c>
      <c r="D5" s="806"/>
      <c r="E5" s="321" t="s">
        <v>714</v>
      </c>
      <c r="F5" s="371" t="s">
        <v>715</v>
      </c>
      <c r="G5" s="353" t="str">
        <f>G34&amp;" / 2"</f>
        <v>0 / 2</v>
      </c>
      <c r="H5" s="255"/>
    </row>
    <row r="6" spans="2:10" ht="30" customHeight="1" thickBot="1">
      <c r="B6" s="811"/>
      <c r="C6" s="806" t="s">
        <v>375</v>
      </c>
      <c r="D6" s="806"/>
      <c r="E6" s="321" t="s">
        <v>716</v>
      </c>
      <c r="F6" s="368"/>
      <c r="G6" s="353" t="str">
        <f>G35&amp;" / 1"</f>
        <v>0 / 1</v>
      </c>
      <c r="H6" s="255"/>
      <c r="I6" s="376" t="s">
        <v>403</v>
      </c>
    </row>
    <row r="7" spans="2:10" ht="30" customHeight="1" thickBot="1">
      <c r="B7" s="713"/>
      <c r="C7" s="806" t="s">
        <v>395</v>
      </c>
      <c r="D7" s="806"/>
      <c r="E7" s="321" t="s">
        <v>717</v>
      </c>
      <c r="F7" s="368"/>
      <c r="G7" s="353" t="str">
        <f>G36&amp;" / 1"</f>
        <v>0 / 1</v>
      </c>
      <c r="H7" s="255"/>
      <c r="I7" s="814" t="str">
        <f>I51</f>
        <v>Suunnitelmassa vieraslajeja jää tontille/kortteliin!</v>
      </c>
    </row>
    <row r="8" spans="2:10" ht="30" customHeight="1" thickBot="1">
      <c r="B8" s="816" t="str">
        <f>SUM(G33:G37)&amp;" / 8"</f>
        <v>0 / 8</v>
      </c>
      <c r="C8" s="806" t="s">
        <v>452</v>
      </c>
      <c r="D8" s="806"/>
      <c r="E8" s="321" t="s">
        <v>718</v>
      </c>
      <c r="F8" s="368"/>
      <c r="G8" s="353" t="str">
        <f>G37&amp;" / 1"</f>
        <v>0 / 1</v>
      </c>
      <c r="H8" s="255"/>
      <c r="I8" s="814"/>
    </row>
    <row r="9" spans="2:10" ht="30" customHeight="1" thickBot="1">
      <c r="B9" s="818"/>
      <c r="C9" s="808" t="s">
        <v>597</v>
      </c>
      <c r="D9" s="808"/>
      <c r="E9" s="366" t="s">
        <v>719</v>
      </c>
      <c r="F9" s="369"/>
      <c r="G9" s="363" t="str">
        <f>G38&amp;" / 1"</f>
        <v>0 / 1</v>
      </c>
      <c r="H9" s="255"/>
      <c r="I9" s="270"/>
    </row>
    <row r="10" spans="2:10" ht="30" customHeight="1" thickBot="1">
      <c r="B10" s="358"/>
      <c r="C10" s="680"/>
      <c r="D10" s="680"/>
      <c r="E10" s="681"/>
      <c r="F10" s="351"/>
      <c r="G10" s="359"/>
      <c r="H10" s="255"/>
      <c r="I10" s="255"/>
    </row>
    <row r="11" spans="2:10" ht="30" customHeight="1" thickBot="1">
      <c r="B11" s="811" t="s">
        <v>383</v>
      </c>
      <c r="C11" s="807" t="s">
        <v>590</v>
      </c>
      <c r="D11" s="807"/>
      <c r="E11" s="321" t="s">
        <v>720</v>
      </c>
      <c r="F11" s="372"/>
      <c r="G11" s="357" t="str">
        <f>G39&amp;" / 0"</f>
        <v>-2 / 0</v>
      </c>
      <c r="H11" s="255"/>
      <c r="I11" s="255"/>
    </row>
    <row r="12" spans="2:10" ht="30" customHeight="1" thickBot="1">
      <c r="B12" s="811"/>
      <c r="C12" s="807" t="s">
        <v>394</v>
      </c>
      <c r="D12" s="807"/>
      <c r="E12" s="321" t="s">
        <v>721</v>
      </c>
      <c r="F12" s="712"/>
      <c r="G12" s="353" t="str">
        <f t="shared" ref="G12:G16" si="0">G40&amp;" / 1"</f>
        <v>0 / 1</v>
      </c>
      <c r="H12" s="255"/>
      <c r="I12" s="255"/>
    </row>
    <row r="13" spans="2:10" ht="30" customHeight="1" thickBot="1">
      <c r="B13" s="811"/>
      <c r="C13" s="806" t="s">
        <v>387</v>
      </c>
      <c r="D13" s="806"/>
      <c r="E13" s="321" t="s">
        <v>722</v>
      </c>
      <c r="F13" s="373"/>
      <c r="G13" s="353" t="str">
        <f t="shared" si="0"/>
        <v>0 / 1</v>
      </c>
      <c r="H13" s="255"/>
      <c r="I13" s="255"/>
    </row>
    <row r="14" spans="2:10" ht="30" customHeight="1" thickBot="1">
      <c r="B14" s="811"/>
      <c r="C14" s="806" t="s">
        <v>388</v>
      </c>
      <c r="D14" s="806"/>
      <c r="E14" s="321" t="s">
        <v>723</v>
      </c>
      <c r="F14" s="373"/>
      <c r="G14" s="353" t="str">
        <f t="shared" si="0"/>
        <v>0 / 1</v>
      </c>
      <c r="H14" s="255"/>
      <c r="I14" s="255"/>
    </row>
    <row r="15" spans="2:10" ht="30" customHeight="1" thickBot="1">
      <c r="B15" s="816" t="str">
        <f>SUM(G39:G44)&amp;" / 5"</f>
        <v>-2 / 5</v>
      </c>
      <c r="C15" s="806" t="s">
        <v>477</v>
      </c>
      <c r="D15" s="806"/>
      <c r="E15" s="321" t="s">
        <v>724</v>
      </c>
      <c r="F15" s="373"/>
      <c r="G15" s="353" t="str">
        <f t="shared" si="0"/>
        <v>0 / 1</v>
      </c>
      <c r="H15" s="255"/>
      <c r="I15" s="255"/>
    </row>
    <row r="16" spans="2:10" ht="30" customHeight="1" thickBot="1">
      <c r="B16" s="816"/>
      <c r="C16" s="808" t="s">
        <v>407</v>
      </c>
      <c r="D16" s="808"/>
      <c r="E16" s="321" t="s">
        <v>725</v>
      </c>
      <c r="F16" s="374"/>
      <c r="G16" s="356" t="str">
        <f t="shared" si="0"/>
        <v>0 / 1</v>
      </c>
      <c r="H16" s="255"/>
      <c r="I16" s="255"/>
    </row>
    <row r="17" spans="1:10" ht="30" customHeight="1" thickBot="1">
      <c r="B17" s="358"/>
      <c r="C17" s="680"/>
      <c r="D17" s="680"/>
      <c r="E17" s="682"/>
      <c r="F17" s="351"/>
      <c r="G17" s="359"/>
      <c r="H17" s="255"/>
      <c r="I17" s="255"/>
    </row>
    <row r="18" spans="1:10" ht="30" customHeight="1">
      <c r="B18" s="811" t="s">
        <v>479</v>
      </c>
      <c r="C18" s="807" t="s">
        <v>436</v>
      </c>
      <c r="D18" s="807"/>
      <c r="E18" s="807"/>
      <c r="F18" s="367"/>
      <c r="G18" s="357" t="str">
        <f>G45&amp;" / 0,5"</f>
        <v>0 / 0,5</v>
      </c>
      <c r="H18" s="255"/>
      <c r="I18" s="255"/>
    </row>
    <row r="19" spans="1:10" ht="30" customHeight="1">
      <c r="B19" s="811"/>
      <c r="C19" s="806" t="s">
        <v>453</v>
      </c>
      <c r="D19" s="806"/>
      <c r="E19" s="806"/>
      <c r="F19" s="368"/>
      <c r="G19" s="353" t="str">
        <f>G46&amp;" / 0,5"</f>
        <v>0 / 0,5</v>
      </c>
      <c r="H19" s="255"/>
      <c r="I19" s="255"/>
    </row>
    <row r="20" spans="1:10" ht="30" customHeight="1">
      <c r="B20" s="811"/>
      <c r="C20" s="806" t="s">
        <v>379</v>
      </c>
      <c r="D20" s="806"/>
      <c r="E20" s="806"/>
      <c r="F20" s="368"/>
      <c r="G20" s="353" t="str">
        <f>G47&amp;" / 0,5"</f>
        <v>0 / 0,5</v>
      </c>
      <c r="H20" s="255"/>
      <c r="I20" s="255"/>
    </row>
    <row r="21" spans="1:10" ht="30" customHeight="1" thickBot="1">
      <c r="B21" s="811"/>
      <c r="C21" s="809" t="s">
        <v>602</v>
      </c>
      <c r="D21" s="806" t="s">
        <v>482</v>
      </c>
      <c r="E21" s="806"/>
      <c r="F21" s="368"/>
      <c r="G21" s="815" t="str">
        <f>G48&amp;" / 1"</f>
        <v>0 / 1</v>
      </c>
      <c r="H21" s="255"/>
      <c r="I21" s="255"/>
    </row>
    <row r="22" spans="1:10" ht="30" customHeight="1" thickBot="1">
      <c r="B22" s="361"/>
      <c r="C22" s="809"/>
      <c r="D22" s="720" t="s">
        <v>591</v>
      </c>
      <c r="E22" s="321" t="s">
        <v>726</v>
      </c>
      <c r="F22" s="368"/>
      <c r="G22" s="815"/>
      <c r="H22" s="828"/>
      <c r="I22" s="255"/>
    </row>
    <row r="23" spans="1:10" ht="30" customHeight="1" thickBot="1">
      <c r="B23" s="361"/>
      <c r="C23" s="809"/>
      <c r="D23" s="720" t="s">
        <v>603</v>
      </c>
      <c r="E23" s="321" t="s">
        <v>727</v>
      </c>
      <c r="F23" s="368"/>
      <c r="G23" s="815"/>
      <c r="H23" s="828"/>
      <c r="I23" s="255"/>
    </row>
    <row r="24" spans="1:10" ht="30" customHeight="1" thickBot="1">
      <c r="B24" s="816" t="str">
        <f>SUM(G45:G52)&amp;" / 2,5"</f>
        <v>0 / 2,5</v>
      </c>
      <c r="C24" s="809"/>
      <c r="D24" s="720" t="s">
        <v>592</v>
      </c>
      <c r="E24" s="321" t="s">
        <v>728</v>
      </c>
      <c r="F24" s="368"/>
      <c r="G24" s="815"/>
      <c r="H24" s="255"/>
      <c r="I24" s="255"/>
    </row>
    <row r="25" spans="1:10" ht="30" customHeight="1" thickBot="1">
      <c r="B25" s="816"/>
      <c r="C25" s="806" t="s">
        <v>404</v>
      </c>
      <c r="D25" s="806"/>
      <c r="E25" s="806"/>
      <c r="F25" s="368"/>
      <c r="G25" s="355" t="str">
        <f>G52&amp;" / 0,5"</f>
        <v>0 / 0,5</v>
      </c>
      <c r="I25" s="255"/>
    </row>
    <row r="26" spans="1:10" ht="30" customHeight="1" thickBot="1">
      <c r="B26" s="358"/>
      <c r="C26" s="680"/>
      <c r="D26" s="680"/>
      <c r="E26" s="683"/>
      <c r="F26" s="365"/>
      <c r="G26" s="359"/>
      <c r="H26" s="255"/>
      <c r="I26" s="255"/>
    </row>
    <row r="27" spans="1:10" ht="30" customHeight="1" thickBot="1">
      <c r="B27" s="810" t="s">
        <v>392</v>
      </c>
      <c r="C27" s="823" t="s">
        <v>381</v>
      </c>
      <c r="D27" s="823"/>
      <c r="E27" s="321" t="s">
        <v>729</v>
      </c>
      <c r="F27" s="367"/>
      <c r="G27" s="357" t="str">
        <f>G53&amp;" / 0,5"</f>
        <v>0 / 0,5</v>
      </c>
      <c r="H27" s="255"/>
      <c r="I27" s="688"/>
    </row>
    <row r="28" spans="1:10" ht="30" customHeight="1" thickBot="1">
      <c r="B28" s="811"/>
      <c r="C28" s="824" t="s">
        <v>380</v>
      </c>
      <c r="D28" s="824"/>
      <c r="E28" s="321" t="s">
        <v>730</v>
      </c>
      <c r="F28" s="368"/>
      <c r="G28" s="353" t="str">
        <f>G54&amp;" / 0,5"</f>
        <v>0 / 0,5</v>
      </c>
      <c r="H28" s="255"/>
      <c r="I28" s="688"/>
    </row>
    <row r="29" spans="1:10" ht="30" customHeight="1" thickBot="1">
      <c r="B29" s="362" t="str">
        <f>SUM(G53:G55)&amp;" / 1,5"</f>
        <v>0 / 1,5</v>
      </c>
      <c r="C29" s="812" t="s">
        <v>382</v>
      </c>
      <c r="D29" s="812"/>
      <c r="E29" s="813"/>
      <c r="F29" s="369"/>
      <c r="G29" s="354" t="str">
        <f>G55&amp;" / 0,5"</f>
        <v>0 / 0,5</v>
      </c>
      <c r="H29" s="255"/>
      <c r="I29" s="606" t="s">
        <v>731</v>
      </c>
    </row>
    <row r="30" spans="1:10" ht="30" customHeight="1">
      <c r="B30" s="299"/>
      <c r="C30" s="297"/>
      <c r="D30" s="297"/>
      <c r="E30" s="297"/>
      <c r="G30" s="298"/>
      <c r="H30" s="255"/>
      <c r="I30" s="689"/>
    </row>
    <row r="31" spans="1:10" ht="30" customHeight="1">
      <c r="I31" s="252"/>
    </row>
    <row r="32" spans="1:10" ht="30" hidden="1" customHeight="1" thickBot="1">
      <c r="A32" s="250"/>
      <c r="B32" s="250"/>
      <c r="C32" s="380" t="s">
        <v>732</v>
      </c>
      <c r="D32" s="381"/>
      <c r="E32" s="382"/>
      <c r="F32" s="379" t="s">
        <v>733</v>
      </c>
      <c r="G32" s="379" t="s">
        <v>398</v>
      </c>
      <c r="H32" s="684"/>
      <c r="I32" s="377" t="s">
        <v>400</v>
      </c>
      <c r="J32" s="685"/>
    </row>
    <row r="33" spans="1:11" ht="30" hidden="1" customHeight="1">
      <c r="A33" s="250"/>
      <c r="B33" s="250"/>
      <c r="C33" s="819" t="s">
        <v>734</v>
      </c>
      <c r="D33" s="820"/>
      <c r="E33" s="820"/>
      <c r="F33" s="690" t="str">
        <f>F4</f>
        <v>-</v>
      </c>
      <c r="G33" s="690">
        <f>IF(F33=Kelpoisuusehdot!A21,0,IF(Naturräknare!F33=Kelpoisuusehdot!A22,0,IF(Naturräknare!F33=Kelpoisuusehdot!A23,0.5,IF(Naturräknare!F33=Kelpoisuusehdot!A24,1,IF(Naturräknare!F33=Kelpoisuusehdot!A25,2,IF(F33=Kelpoisuusehdot!A26,3,0))))))</f>
        <v>0</v>
      </c>
      <c r="H33" s="684"/>
      <c r="I33" s="696" t="s">
        <v>390</v>
      </c>
      <c r="J33" s="685"/>
    </row>
    <row r="34" spans="1:11" ht="30" hidden="1" customHeight="1">
      <c r="A34" s="250"/>
      <c r="B34" s="250"/>
      <c r="C34" s="821" t="s">
        <v>735</v>
      </c>
      <c r="D34" s="822"/>
      <c r="E34" s="822"/>
      <c r="F34" s="691" t="str">
        <f>F5</f>
        <v>-</v>
      </c>
      <c r="G34" s="691">
        <f>IF(F34=Kelpoisuusehdot!A29,0,IF(Naturräknare!F34=Kelpoisuusehdot!A30,0,IF(Naturräknare!F34=Kelpoisuusehdot!A31,1,IF(Naturräknare!F34=Kelpoisuusehdot!A32,1.5,IF(Naturräknare!F34=Kelpoisuusehdot!A33,2,0)))))</f>
        <v>0</v>
      </c>
      <c r="H34" s="684"/>
      <c r="I34" s="697">
        <f>SUM(G33:G55)</f>
        <v>-2</v>
      </c>
      <c r="J34" s="685"/>
    </row>
    <row r="35" spans="1:11" ht="30" hidden="1" customHeight="1">
      <c r="A35" s="250"/>
      <c r="B35" s="250"/>
      <c r="C35" s="821" t="s">
        <v>736</v>
      </c>
      <c r="D35" s="822"/>
      <c r="E35" s="822"/>
      <c r="F35" s="692" t="b">
        <v>0</v>
      </c>
      <c r="G35" s="691">
        <f>IF(F35,1,0)</f>
        <v>0</v>
      </c>
      <c r="H35" s="684"/>
      <c r="I35" s="697" t="s">
        <v>391</v>
      </c>
      <c r="J35" s="685"/>
    </row>
    <row r="36" spans="1:11" ht="30" hidden="1" customHeight="1">
      <c r="A36" s="250"/>
      <c r="B36" s="250"/>
      <c r="C36" s="821" t="s">
        <v>376</v>
      </c>
      <c r="D36" s="822"/>
      <c r="E36" s="822"/>
      <c r="F36" s="692" t="b">
        <v>0</v>
      </c>
      <c r="G36" s="691">
        <f>IF(F36,1,0)</f>
        <v>0</v>
      </c>
      <c r="H36" s="684"/>
      <c r="I36" s="697">
        <v>18.5</v>
      </c>
      <c r="J36" s="685"/>
    </row>
    <row r="37" spans="1:11" ht="30" hidden="1" customHeight="1" thickBot="1">
      <c r="A37" s="250"/>
      <c r="B37" s="250"/>
      <c r="C37" s="821" t="s">
        <v>435</v>
      </c>
      <c r="D37" s="822"/>
      <c r="E37" s="822"/>
      <c r="F37" s="692" t="b">
        <v>0</v>
      </c>
      <c r="G37" s="691">
        <f>IF(F37,1,0)</f>
        <v>0</v>
      </c>
      <c r="H37" s="684"/>
      <c r="I37" s="686"/>
      <c r="J37" s="685"/>
      <c r="K37" s="250"/>
    </row>
    <row r="38" spans="1:11" ht="30" hidden="1" customHeight="1" thickBot="1">
      <c r="A38" s="250"/>
      <c r="B38" s="250"/>
      <c r="C38" s="825" t="s">
        <v>481</v>
      </c>
      <c r="D38" s="826"/>
      <c r="E38" s="826"/>
      <c r="F38" s="693" t="b">
        <v>0</v>
      </c>
      <c r="G38" s="694">
        <f>IF(F38,1,0)</f>
        <v>0</v>
      </c>
      <c r="H38" s="684"/>
      <c r="I38" s="377" t="s">
        <v>402</v>
      </c>
      <c r="J38" s="685"/>
      <c r="K38" s="250"/>
    </row>
    <row r="39" spans="1:11" ht="30" hidden="1" customHeight="1">
      <c r="A39" s="250"/>
      <c r="B39" s="250"/>
      <c r="C39" s="819" t="s">
        <v>737</v>
      </c>
      <c r="D39" s="820"/>
      <c r="E39" s="820"/>
      <c r="F39" s="695" t="b">
        <v>0</v>
      </c>
      <c r="G39" s="690">
        <f>IF(F39,0,-2)</f>
        <v>-2</v>
      </c>
      <c r="H39" s="684"/>
      <c r="I39" s="696" t="str">
        <f>IF(I34&lt;=0,I45,I40)</f>
        <v>Lösningarna för gröna element kan ha skadliga följder för naturens mångfald</v>
      </c>
      <c r="J39" s="685"/>
    </row>
    <row r="40" spans="1:11" ht="30" hidden="1" customHeight="1">
      <c r="A40" s="250"/>
      <c r="B40" s="250"/>
      <c r="C40" s="821" t="s">
        <v>738</v>
      </c>
      <c r="D40" s="822"/>
      <c r="E40" s="822"/>
      <c r="F40" s="714" t="b">
        <v>0</v>
      </c>
      <c r="G40" s="691">
        <f>IF(F40,1,0)</f>
        <v>0</v>
      </c>
      <c r="H40" s="684"/>
      <c r="I40" s="697" t="str">
        <f>IF(I34&lt;=4,I46,I41)</f>
        <v>Lösningarna för gröna element stöder inte naturens mångfald</v>
      </c>
      <c r="J40" s="685"/>
    </row>
    <row r="41" spans="1:11" ht="30" hidden="1" customHeight="1">
      <c r="A41" s="250"/>
      <c r="B41" s="250"/>
      <c r="C41" s="821" t="s">
        <v>739</v>
      </c>
      <c r="D41" s="822"/>
      <c r="E41" s="822"/>
      <c r="F41" s="692" t="b">
        <v>0</v>
      </c>
      <c r="G41" s="691">
        <f>IF(F41,1,0)</f>
        <v>0</v>
      </c>
      <c r="H41" s="684"/>
      <c r="I41" s="697" t="str">
        <f>IF(I34&lt;=8,I47,I42)</f>
        <v>Lösningarna för gröna element stöder naturens mångfald</v>
      </c>
      <c r="J41" s="685"/>
    </row>
    <row r="42" spans="1:11" ht="30" hidden="1" customHeight="1">
      <c r="A42" s="250"/>
      <c r="B42" s="250"/>
      <c r="C42" s="821" t="s">
        <v>740</v>
      </c>
      <c r="D42" s="822"/>
      <c r="E42" s="822"/>
      <c r="F42" s="692" t="b">
        <v>0</v>
      </c>
      <c r="G42" s="691">
        <f>IF(F42,1,0)</f>
        <v>0</v>
      </c>
      <c r="H42" s="684"/>
      <c r="I42" s="697" t="str">
        <f>IF(I34&gt;8,I48,"Laskuvirhe!")</f>
        <v>Laskuvirhe!</v>
      </c>
      <c r="J42" s="685"/>
    </row>
    <row r="43" spans="1:11" ht="30" hidden="1" customHeight="1" thickBot="1">
      <c r="A43" s="250"/>
      <c r="B43" s="250"/>
      <c r="C43" s="821" t="s">
        <v>741</v>
      </c>
      <c r="D43" s="822"/>
      <c r="E43" s="822"/>
      <c r="F43" s="692" t="b">
        <v>0</v>
      </c>
      <c r="G43" s="691">
        <f>IF(F43,1,0)</f>
        <v>0</v>
      </c>
      <c r="H43" s="684"/>
      <c r="I43" s="684"/>
      <c r="J43" s="685"/>
    </row>
    <row r="44" spans="1:11" ht="30" hidden="1" customHeight="1" thickBot="1">
      <c r="A44" s="250"/>
      <c r="B44" s="250"/>
      <c r="C44" s="829" t="s">
        <v>742</v>
      </c>
      <c r="D44" s="830"/>
      <c r="E44" s="830"/>
      <c r="F44" s="693" t="b">
        <v>0</v>
      </c>
      <c r="G44" s="694">
        <f>IF(F44,1,0)</f>
        <v>0</v>
      </c>
      <c r="H44" s="684"/>
      <c r="I44" s="377" t="s">
        <v>399</v>
      </c>
      <c r="J44" s="685"/>
    </row>
    <row r="45" spans="1:11" ht="30" hidden="1" customHeight="1">
      <c r="A45" s="250"/>
      <c r="B45" s="250"/>
      <c r="C45" s="819" t="s">
        <v>743</v>
      </c>
      <c r="D45" s="820"/>
      <c r="E45" s="820"/>
      <c r="F45" s="695" t="b">
        <v>0</v>
      </c>
      <c r="G45" s="690">
        <f t="shared" ref="G45:G47" si="1">IF(F45,0.5,0)</f>
        <v>0</v>
      </c>
      <c r="H45" s="684"/>
      <c r="I45" s="696" t="s">
        <v>437</v>
      </c>
      <c r="J45" s="685"/>
      <c r="K45" s="251"/>
    </row>
    <row r="46" spans="1:11" ht="30" hidden="1" customHeight="1">
      <c r="A46" s="250"/>
      <c r="B46" s="250"/>
      <c r="C46" s="821" t="s">
        <v>378</v>
      </c>
      <c r="D46" s="822"/>
      <c r="E46" s="822"/>
      <c r="F46" s="692" t="b">
        <v>0</v>
      </c>
      <c r="G46" s="691">
        <f t="shared" si="1"/>
        <v>0</v>
      </c>
      <c r="H46" s="684"/>
      <c r="I46" s="697" t="s">
        <v>425</v>
      </c>
      <c r="J46" s="685"/>
    </row>
    <row r="47" spans="1:11" ht="30" hidden="1" customHeight="1">
      <c r="A47" s="250"/>
      <c r="B47" s="250"/>
      <c r="C47" s="821" t="s">
        <v>744</v>
      </c>
      <c r="D47" s="822"/>
      <c r="E47" s="822"/>
      <c r="F47" s="692" t="b">
        <v>0</v>
      </c>
      <c r="G47" s="691">
        <f t="shared" si="1"/>
        <v>0</v>
      </c>
      <c r="H47" s="684"/>
      <c r="I47" s="697" t="s">
        <v>426</v>
      </c>
      <c r="J47" s="685"/>
    </row>
    <row r="48" spans="1:11" ht="30" hidden="1" customHeight="1">
      <c r="A48" s="250"/>
      <c r="B48" s="250"/>
      <c r="C48" s="832" t="s">
        <v>478</v>
      </c>
      <c r="D48" s="831" t="s">
        <v>745</v>
      </c>
      <c r="E48" s="831"/>
      <c r="F48" s="692" t="b">
        <v>0</v>
      </c>
      <c r="G48" s="827">
        <f>IF(COUNTIF(F48:F51,TRUE)=1,0.5,0)+IF(COUNTIF(F48:F51,TRUE)&gt;=2,1,0)</f>
        <v>0</v>
      </c>
      <c r="H48" s="684"/>
      <c r="I48" s="697" t="s">
        <v>427</v>
      </c>
      <c r="J48" s="685"/>
    </row>
    <row r="49" spans="1:11" ht="30" hidden="1" customHeight="1" thickBot="1">
      <c r="A49" s="250"/>
      <c r="B49" s="250"/>
      <c r="C49" s="832"/>
      <c r="D49" s="831" t="s">
        <v>483</v>
      </c>
      <c r="E49" s="831"/>
      <c r="F49" s="692" t="b">
        <v>0</v>
      </c>
      <c r="G49" s="827"/>
      <c r="H49" s="684"/>
      <c r="I49" s="684"/>
      <c r="J49" s="685"/>
    </row>
    <row r="50" spans="1:11" ht="30" hidden="1" customHeight="1" thickBot="1">
      <c r="A50" s="250"/>
      <c r="B50" s="250"/>
      <c r="C50" s="832"/>
      <c r="D50" s="831" t="s">
        <v>484</v>
      </c>
      <c r="E50" s="831"/>
      <c r="F50" s="692" t="b">
        <v>0</v>
      </c>
      <c r="G50" s="827"/>
      <c r="H50" s="684"/>
      <c r="I50" s="378" t="s">
        <v>401</v>
      </c>
      <c r="J50" s="685"/>
    </row>
    <row r="51" spans="1:11" ht="30" hidden="1" customHeight="1">
      <c r="A51" s="250"/>
      <c r="B51" s="250"/>
      <c r="C51" s="832"/>
      <c r="D51" s="831" t="s">
        <v>485</v>
      </c>
      <c r="E51" s="831"/>
      <c r="F51" s="692" t="b">
        <v>0</v>
      </c>
      <c r="G51" s="827"/>
      <c r="H51" s="684"/>
      <c r="I51" s="696" t="str">
        <f>IF(G39=-2,"Suunnitelmassa vieraslajeja jää tontille/kortteliin!"," ")</f>
        <v>Suunnitelmassa vieraslajeja jää tontille/kortteliin!</v>
      </c>
      <c r="J51" s="685"/>
    </row>
    <row r="52" spans="1:11" ht="30" hidden="1" customHeight="1" thickBot="1">
      <c r="A52" s="250"/>
      <c r="B52" s="250"/>
      <c r="C52" s="821" t="s">
        <v>746</v>
      </c>
      <c r="D52" s="822"/>
      <c r="E52" s="822"/>
      <c r="F52" s="692" t="b">
        <v>0</v>
      </c>
      <c r="G52" s="691">
        <f>IF(F52,0.5,0)</f>
        <v>0</v>
      </c>
      <c r="H52" s="684"/>
      <c r="J52" s="685"/>
    </row>
    <row r="53" spans="1:11" ht="30" hidden="1" customHeight="1">
      <c r="A53" s="250"/>
      <c r="B53" s="250"/>
      <c r="C53" s="819" t="s">
        <v>747</v>
      </c>
      <c r="D53" s="820"/>
      <c r="E53" s="820"/>
      <c r="F53" s="695" t="b">
        <v>0</v>
      </c>
      <c r="G53" s="690">
        <f>IF(F53,0.5,0)</f>
        <v>0</v>
      </c>
      <c r="H53" s="684"/>
      <c r="I53" s="685"/>
      <c r="J53" s="684"/>
      <c r="K53" s="251"/>
    </row>
    <row r="54" spans="1:11" ht="30" hidden="1" customHeight="1">
      <c r="A54" s="250"/>
      <c r="B54" s="250"/>
      <c r="C54" s="821" t="s">
        <v>748</v>
      </c>
      <c r="D54" s="822"/>
      <c r="E54" s="822"/>
      <c r="F54" s="692" t="b">
        <v>0</v>
      </c>
      <c r="G54" s="691">
        <f>IF(F54,0.5,0)</f>
        <v>0</v>
      </c>
      <c r="H54" s="684"/>
      <c r="I54" s="685"/>
      <c r="J54" s="684"/>
      <c r="K54" s="251"/>
    </row>
    <row r="55" spans="1:11" ht="30" hidden="1" customHeight="1" thickBot="1">
      <c r="A55" s="250"/>
      <c r="B55" s="250"/>
      <c r="C55" s="829" t="s">
        <v>749</v>
      </c>
      <c r="D55" s="830"/>
      <c r="E55" s="830"/>
      <c r="F55" s="693" t="b">
        <v>0</v>
      </c>
      <c r="G55" s="694">
        <f>IF(F55,0.5,0)</f>
        <v>0</v>
      </c>
      <c r="H55" s="684"/>
      <c r="I55" s="685"/>
      <c r="J55" s="684"/>
      <c r="K55" s="251"/>
    </row>
    <row r="56" spans="1:11" ht="30" customHeight="1">
      <c r="A56" s="250"/>
      <c r="B56" s="250"/>
      <c r="C56" s="685"/>
      <c r="D56" s="685"/>
      <c r="E56" s="685"/>
      <c r="F56" s="685"/>
      <c r="G56" s="685"/>
      <c r="H56" s="684"/>
      <c r="I56" s="685"/>
      <c r="J56" s="684"/>
      <c r="K56" s="251"/>
    </row>
    <row r="57" spans="1:11" ht="30" customHeight="1">
      <c r="C57" s="685"/>
      <c r="D57" s="685"/>
      <c r="E57" s="685"/>
      <c r="F57" s="685"/>
      <c r="G57" s="685"/>
      <c r="H57" s="685"/>
      <c r="I57" s="685"/>
      <c r="J57" s="685"/>
    </row>
    <row r="58" spans="1:11" ht="30" customHeight="1">
      <c r="C58" s="685"/>
      <c r="D58" s="685"/>
      <c r="E58" s="685"/>
      <c r="F58" s="685"/>
      <c r="G58" s="685"/>
      <c r="H58" s="684"/>
      <c r="I58" s="687"/>
      <c r="J58" s="685"/>
      <c r="K58" s="252"/>
    </row>
    <row r="59" spans="1:11" ht="30" customHeight="1">
      <c r="H59" s="251"/>
      <c r="I59" s="252"/>
      <c r="K59" s="252"/>
    </row>
    <row r="60" spans="1:11" ht="30" customHeight="1">
      <c r="H60" s="251"/>
      <c r="I60" s="252"/>
      <c r="K60" s="252"/>
    </row>
    <row r="61" spans="1:11" ht="30" customHeight="1">
      <c r="H61" s="251"/>
      <c r="I61" s="252"/>
      <c r="K61" s="252"/>
    </row>
    <row r="62" spans="1:11" ht="30" customHeight="1"/>
    <row r="63" spans="1:11" ht="30" customHeight="1"/>
    <row r="64" spans="1:11" ht="30" customHeight="1"/>
    <row r="65" ht="30" customHeight="1"/>
    <row r="66" ht="30" customHeight="1"/>
    <row r="67" ht="30" customHeight="1"/>
    <row r="68" ht="30" customHeight="1"/>
  </sheetData>
  <sheetProtection algorithmName="SHA-512" hashValue="uMgcptkIxVWJeSRAZCcHurAQ9CfdfqpOmjKBh/s9C0FhGniQVZrLjTrZufDSZPayRfUSiyQsSggPrTkHMYmIeQ==" saltValue="B2zkGUzB6MGUDNdKurjRsQ==" spinCount="100000" sheet="1" objects="1" scenarios="1"/>
  <mergeCells count="58">
    <mergeCell ref="G48:G51"/>
    <mergeCell ref="H22:H23"/>
    <mergeCell ref="C55:E55"/>
    <mergeCell ref="C54:E54"/>
    <mergeCell ref="D48:E48"/>
    <mergeCell ref="D49:E49"/>
    <mergeCell ref="D50:E50"/>
    <mergeCell ref="D51:E51"/>
    <mergeCell ref="C47:E47"/>
    <mergeCell ref="C48:C51"/>
    <mergeCell ref="C52:E52"/>
    <mergeCell ref="C53:E53"/>
    <mergeCell ref="C42:E42"/>
    <mergeCell ref="C43:E43"/>
    <mergeCell ref="C44:E44"/>
    <mergeCell ref="C45:E45"/>
    <mergeCell ref="C46:E46"/>
    <mergeCell ref="C36:E36"/>
    <mergeCell ref="C37:E37"/>
    <mergeCell ref="C38:E38"/>
    <mergeCell ref="C39:E39"/>
    <mergeCell ref="C41:E41"/>
    <mergeCell ref="C40:E40"/>
    <mergeCell ref="C33:E33"/>
    <mergeCell ref="C34:E34"/>
    <mergeCell ref="C35:E35"/>
    <mergeCell ref="C27:D27"/>
    <mergeCell ref="C28:D28"/>
    <mergeCell ref="I3:I4"/>
    <mergeCell ref="B11:B14"/>
    <mergeCell ref="B15:B16"/>
    <mergeCell ref="B4:B6"/>
    <mergeCell ref="C4:D4"/>
    <mergeCell ref="C5:D5"/>
    <mergeCell ref="C6:D6"/>
    <mergeCell ref="B8:B9"/>
    <mergeCell ref="C12:D12"/>
    <mergeCell ref="B27:B28"/>
    <mergeCell ref="C29:E29"/>
    <mergeCell ref="B18:B21"/>
    <mergeCell ref="I7:I8"/>
    <mergeCell ref="G21:G24"/>
    <mergeCell ref="B24:B25"/>
    <mergeCell ref="B2:G2"/>
    <mergeCell ref="C25:E25"/>
    <mergeCell ref="C20:E20"/>
    <mergeCell ref="C19:E19"/>
    <mergeCell ref="C18:E18"/>
    <mergeCell ref="C7:D7"/>
    <mergeCell ref="C8:D8"/>
    <mergeCell ref="C9:D9"/>
    <mergeCell ref="C11:D11"/>
    <mergeCell ref="C13:D13"/>
    <mergeCell ref="C14:D14"/>
    <mergeCell ref="C15:D15"/>
    <mergeCell ref="C16:D16"/>
    <mergeCell ref="C21:C24"/>
    <mergeCell ref="D21:E21"/>
  </mergeCells>
  <conditionalFormatting sqref="I3">
    <cfRule type="cellIs" dxfId="19" priority="35" stopIfTrue="1" operator="equal">
      <formula>$I$48</formula>
    </cfRule>
    <cfRule type="cellIs" dxfId="18" priority="36" stopIfTrue="1" operator="equal">
      <formula>$I$47</formula>
    </cfRule>
    <cfRule type="cellIs" dxfId="17" priority="37" stopIfTrue="1" operator="equal">
      <formula>$I$46</formula>
    </cfRule>
    <cfRule type="cellIs" dxfId="16" priority="38" stopIfTrue="1" operator="equal">
      <formula>$I$45</formula>
    </cfRule>
  </conditionalFormatting>
  <conditionalFormatting sqref="I7">
    <cfRule type="expression" dxfId="15" priority="1">
      <formula>$G$39=-2</formula>
    </cfRule>
  </conditionalFormatting>
  <dataValidations disablePrompts="1" count="3">
    <dataValidation allowBlank="1" showErrorMessage="1" sqref="C5 C13:C16 C8:C9 C28" xr:uid="{4EA32CFE-5BD0-114B-9F08-BF1335038830}"/>
    <dataValidation allowBlank="1" showErrorMessage="1" prompt="_x000a__x000a_" sqref="C27 E27" xr:uid="{1CD4029B-92A4-9147-B9B0-7818C5C081CC}"/>
    <dataValidation allowBlank="1" showErrorMessage="1" prompt="_x000a_" sqref="E28" xr:uid="{E596F9C8-534C-2E40-9EB1-26811F492B1A}"/>
  </dataValidations>
  <hyperlinks>
    <hyperlink ref="I29" location="'Resultat'!A1" display="Seuraava" xr:uid="{4FE73EEB-9C21-9A40-9F90-13AB9E5AB71F}"/>
    <hyperlink ref="E4" location="'Mer om naturräknaren'!C3" display="i" xr:uid="{C9304F90-96AF-0E4A-BE7F-C6EC6B27B43E}"/>
    <hyperlink ref="E5" location="'Mer om naturräknaren'!C4" display="i" xr:uid="{19DD3C45-0AEE-E44C-A864-932AD94E51D7}"/>
    <hyperlink ref="E6" location="'Mer om naturräknaren'!C5" display="i" xr:uid="{202277B2-BDBB-5442-BF1B-D626CC7E9CB3}"/>
    <hyperlink ref="E7" location="'Mer om naturräknaren'!C6" display="i" xr:uid="{9237A0F7-9D28-E145-808F-D7C359941FA8}"/>
    <hyperlink ref="E8" location="'Mer om naturräknaren'!C7" display="i" xr:uid="{A4B6ED9D-CF2A-EF40-8EA4-EAED29C9DFCC}"/>
    <hyperlink ref="E11" location="'Mer om naturräknaren'!C10" display="i" xr:uid="{2453A718-84AB-6145-AEE8-8D2AED98CDEE}"/>
    <hyperlink ref="E13:E15" location="'Mer om naturräknaren'!C9" display="i" xr:uid="{6484B661-9F78-7D4A-B44D-F696702A1E2A}"/>
    <hyperlink ref="E16" location="'Mer om naturräknaren'!C15" display="i" xr:uid="{6CE58D0E-B114-BC47-B228-FF0A81C80268}"/>
    <hyperlink ref="E27:E28" location="'Mer om naturräknaren'!C12" display="i" xr:uid="{E841CB13-D7EA-CB44-9E6F-24885ABFD878}"/>
    <hyperlink ref="E13" location="'Mer om naturräknaren'!C12" display="i" xr:uid="{49DC22E8-F16D-454D-8A81-C450DA4C2D24}"/>
    <hyperlink ref="E14" location="'Mer om naturräknaren'!C12" display="i" xr:uid="{3EA9DE7C-4303-014B-93D1-E9544BA3BF05}"/>
    <hyperlink ref="E15" location="'Mer om naturräknaren'!C12" display="i" xr:uid="{6362B64B-F062-9D40-92E8-C836ECF73BCE}"/>
    <hyperlink ref="E28" location="'Mer om naturräknaren'!C20" display="i" xr:uid="{DB46E900-2F80-B64C-85FA-59B59FAED18B}"/>
    <hyperlink ref="E27" location="'Mer om naturräknaren'!C20" display="i" xr:uid="{EF7730EC-33C5-2D47-A769-C50C312A0624}"/>
    <hyperlink ref="E9" location="'Mer om naturräknaren'!C8" display="i" xr:uid="{4151A6EC-D0D9-5A4E-90AF-18ED6B84B783}"/>
    <hyperlink ref="E12" location="'Mer om naturräknaren'!C11" display="i" xr:uid="{68DDD81F-3E1B-0646-B87B-FCBED654DD53}"/>
    <hyperlink ref="E22" location="'Mer om naturräknaren'!C17" display="i" xr:uid="{845B4273-DE95-5C4C-BA6B-628C6FE0D685}"/>
    <hyperlink ref="E23" location="'Mer om naturräknaren'!C18" display="i" xr:uid="{D1787D15-4C9D-C44A-8646-F0BA2666B04C}"/>
    <hyperlink ref="E24" location="'Mer om naturräknaren'!C18" display="i" xr:uid="{F187AAAE-80C8-EC49-9E6C-3BE96AE1D5E7}"/>
  </hyperlinks>
  <pageMargins left="0.7" right="0.7" top="0.75" bottom="0.75" header="0.3" footer="0.3"/>
  <pageSetup paperSize="9" orientation="portrait" horizontalDpi="0" verticalDpi="0"/>
  <drawing r:id="rId1"/>
  <legacyDrawing r:id="rId2"/>
  <mc:AlternateContent xmlns:mc="http://schemas.openxmlformats.org/markup-compatibility/2006">
    <mc:Choice Requires="x14">
      <controls>
        <mc:AlternateContent xmlns:mc="http://schemas.openxmlformats.org/markup-compatibility/2006">
          <mc:Choice Requires="x14">
            <control shapeId="21532" r:id="rId3" name="Check Box 28">
              <controlPr defaultSize="0" autoFill="0" autoLine="0" autoPict="0">
                <anchor moveWithCells="1">
                  <from>
                    <xdr:col>5</xdr:col>
                    <xdr:colOff>466725</xdr:colOff>
                    <xdr:row>17</xdr:row>
                    <xdr:rowOff>371475</xdr:rowOff>
                  </from>
                  <to>
                    <xdr:col>6</xdr:col>
                    <xdr:colOff>0</xdr:colOff>
                    <xdr:row>18</xdr:row>
                    <xdr:rowOff>371475</xdr:rowOff>
                  </to>
                </anchor>
              </controlPr>
            </control>
          </mc:Choice>
        </mc:AlternateContent>
        <mc:AlternateContent xmlns:mc="http://schemas.openxmlformats.org/markup-compatibility/2006">
          <mc:Choice Requires="x14">
            <control shapeId="21535" r:id="rId4" name="Check Box 31">
              <controlPr defaultSize="0" autoFill="0" autoLine="0" autoPict="0">
                <anchor moveWithCells="1">
                  <from>
                    <xdr:col>5</xdr:col>
                    <xdr:colOff>466725</xdr:colOff>
                    <xdr:row>16</xdr:row>
                    <xdr:rowOff>371475</xdr:rowOff>
                  </from>
                  <to>
                    <xdr:col>6</xdr:col>
                    <xdr:colOff>0</xdr:colOff>
                    <xdr:row>17</xdr:row>
                    <xdr:rowOff>371475</xdr:rowOff>
                  </to>
                </anchor>
              </controlPr>
            </control>
          </mc:Choice>
        </mc:AlternateContent>
        <mc:AlternateContent xmlns:mc="http://schemas.openxmlformats.org/markup-compatibility/2006">
          <mc:Choice Requires="x14">
            <control shapeId="21537" r:id="rId5" name="Check Box 33">
              <controlPr defaultSize="0" autoFill="0" autoLine="0" autoPict="0">
                <anchor moveWithCells="1">
                  <from>
                    <xdr:col>5</xdr:col>
                    <xdr:colOff>466725</xdr:colOff>
                    <xdr:row>19</xdr:row>
                    <xdr:rowOff>9525</xdr:rowOff>
                  </from>
                  <to>
                    <xdr:col>6</xdr:col>
                    <xdr:colOff>0</xdr:colOff>
                    <xdr:row>20</xdr:row>
                    <xdr:rowOff>9525</xdr:rowOff>
                  </to>
                </anchor>
              </controlPr>
            </control>
          </mc:Choice>
        </mc:AlternateContent>
        <mc:AlternateContent xmlns:mc="http://schemas.openxmlformats.org/markup-compatibility/2006">
          <mc:Choice Requires="x14">
            <control shapeId="21538" r:id="rId6" name="Check Box 34">
              <controlPr defaultSize="0" autoFill="0" autoLine="0" autoPict="0">
                <anchor moveWithCells="1">
                  <from>
                    <xdr:col>5</xdr:col>
                    <xdr:colOff>466725</xdr:colOff>
                    <xdr:row>26</xdr:row>
                    <xdr:rowOff>0</xdr:rowOff>
                  </from>
                  <to>
                    <xdr:col>6</xdr:col>
                    <xdr:colOff>0</xdr:colOff>
                    <xdr:row>27</xdr:row>
                    <xdr:rowOff>0</xdr:rowOff>
                  </to>
                </anchor>
              </controlPr>
            </control>
          </mc:Choice>
        </mc:AlternateContent>
        <mc:AlternateContent xmlns:mc="http://schemas.openxmlformats.org/markup-compatibility/2006">
          <mc:Choice Requires="x14">
            <control shapeId="21539" r:id="rId7" name="Check Box 35">
              <controlPr defaultSize="0" autoFill="0" autoLine="0" autoPict="0">
                <anchor moveWithCells="1">
                  <from>
                    <xdr:col>5</xdr:col>
                    <xdr:colOff>466725</xdr:colOff>
                    <xdr:row>27</xdr:row>
                    <xdr:rowOff>371475</xdr:rowOff>
                  </from>
                  <to>
                    <xdr:col>6</xdr:col>
                    <xdr:colOff>0</xdr:colOff>
                    <xdr:row>28</xdr:row>
                    <xdr:rowOff>371475</xdr:rowOff>
                  </to>
                </anchor>
              </controlPr>
            </control>
          </mc:Choice>
        </mc:AlternateContent>
        <mc:AlternateContent xmlns:mc="http://schemas.openxmlformats.org/markup-compatibility/2006">
          <mc:Choice Requires="x14">
            <control shapeId="21540" r:id="rId8" name="Check Box 36">
              <controlPr defaultSize="0" autoFill="0" autoLine="0" autoPict="0">
                <anchor moveWithCells="1">
                  <from>
                    <xdr:col>5</xdr:col>
                    <xdr:colOff>466725</xdr:colOff>
                    <xdr:row>26</xdr:row>
                    <xdr:rowOff>371475</xdr:rowOff>
                  </from>
                  <to>
                    <xdr:col>6</xdr:col>
                    <xdr:colOff>0</xdr:colOff>
                    <xdr:row>27</xdr:row>
                    <xdr:rowOff>371475</xdr:rowOff>
                  </to>
                </anchor>
              </controlPr>
            </control>
          </mc:Choice>
        </mc:AlternateContent>
        <mc:AlternateContent xmlns:mc="http://schemas.openxmlformats.org/markup-compatibility/2006">
          <mc:Choice Requires="x14">
            <control shapeId="21545" r:id="rId9" name="Check Box 41">
              <controlPr defaultSize="0" autoFill="0" autoLine="0" autoPict="0">
                <anchor moveWithCells="1">
                  <from>
                    <xdr:col>5</xdr:col>
                    <xdr:colOff>466725</xdr:colOff>
                    <xdr:row>5</xdr:row>
                    <xdr:rowOff>352425</xdr:rowOff>
                  </from>
                  <to>
                    <xdr:col>6</xdr:col>
                    <xdr:colOff>0</xdr:colOff>
                    <xdr:row>6</xdr:row>
                    <xdr:rowOff>352425</xdr:rowOff>
                  </to>
                </anchor>
              </controlPr>
            </control>
          </mc:Choice>
        </mc:AlternateContent>
        <mc:AlternateContent xmlns:mc="http://schemas.openxmlformats.org/markup-compatibility/2006">
          <mc:Choice Requires="x14">
            <control shapeId="21546" r:id="rId10" name="Check Box 42">
              <controlPr defaultSize="0" autoFill="0" autoLine="0" autoPict="0">
                <anchor moveWithCells="1">
                  <from>
                    <xdr:col>5</xdr:col>
                    <xdr:colOff>466725</xdr:colOff>
                    <xdr:row>5</xdr:row>
                    <xdr:rowOff>0</xdr:rowOff>
                  </from>
                  <to>
                    <xdr:col>6</xdr:col>
                    <xdr:colOff>0</xdr:colOff>
                    <xdr:row>6</xdr:row>
                    <xdr:rowOff>0</xdr:rowOff>
                  </to>
                </anchor>
              </controlPr>
            </control>
          </mc:Choice>
        </mc:AlternateContent>
        <mc:AlternateContent xmlns:mc="http://schemas.openxmlformats.org/markup-compatibility/2006">
          <mc:Choice Requires="x14">
            <control shapeId="21548" r:id="rId11" name="Check Box 44">
              <controlPr defaultSize="0" autoFill="0" autoLine="0" autoPict="0">
                <anchor moveWithCells="1">
                  <from>
                    <xdr:col>5</xdr:col>
                    <xdr:colOff>466725</xdr:colOff>
                    <xdr:row>12</xdr:row>
                    <xdr:rowOff>9525</xdr:rowOff>
                  </from>
                  <to>
                    <xdr:col>6</xdr:col>
                    <xdr:colOff>0</xdr:colOff>
                    <xdr:row>13</xdr:row>
                    <xdr:rowOff>9525</xdr:rowOff>
                  </to>
                </anchor>
              </controlPr>
            </control>
          </mc:Choice>
        </mc:AlternateContent>
        <mc:AlternateContent xmlns:mc="http://schemas.openxmlformats.org/markup-compatibility/2006">
          <mc:Choice Requires="x14">
            <control shapeId="21550" r:id="rId12" name="Check Box 46">
              <controlPr defaultSize="0" autoFill="0" autoLine="0" autoPict="0">
                <anchor moveWithCells="1">
                  <from>
                    <xdr:col>5</xdr:col>
                    <xdr:colOff>466725</xdr:colOff>
                    <xdr:row>12</xdr:row>
                    <xdr:rowOff>371475</xdr:rowOff>
                  </from>
                  <to>
                    <xdr:col>6</xdr:col>
                    <xdr:colOff>0</xdr:colOff>
                    <xdr:row>13</xdr:row>
                    <xdr:rowOff>371475</xdr:rowOff>
                  </to>
                </anchor>
              </controlPr>
            </control>
          </mc:Choice>
        </mc:AlternateContent>
        <mc:AlternateContent xmlns:mc="http://schemas.openxmlformats.org/markup-compatibility/2006">
          <mc:Choice Requires="x14">
            <control shapeId="21551" r:id="rId13" name="Check Box 47">
              <controlPr defaultSize="0" autoFill="0" autoLine="0" autoPict="0">
                <anchor moveWithCells="1">
                  <from>
                    <xdr:col>5</xdr:col>
                    <xdr:colOff>466725</xdr:colOff>
                    <xdr:row>13</xdr:row>
                    <xdr:rowOff>371475</xdr:rowOff>
                  </from>
                  <to>
                    <xdr:col>6</xdr:col>
                    <xdr:colOff>0</xdr:colOff>
                    <xdr:row>14</xdr:row>
                    <xdr:rowOff>371475</xdr:rowOff>
                  </to>
                </anchor>
              </controlPr>
            </control>
          </mc:Choice>
        </mc:AlternateContent>
        <mc:AlternateContent xmlns:mc="http://schemas.openxmlformats.org/markup-compatibility/2006">
          <mc:Choice Requires="x14">
            <control shapeId="21552" r:id="rId14" name="Check Box 48">
              <controlPr defaultSize="0" autoFill="0" autoLine="0" autoPict="0">
                <anchor moveWithCells="1">
                  <from>
                    <xdr:col>5</xdr:col>
                    <xdr:colOff>466725</xdr:colOff>
                    <xdr:row>14</xdr:row>
                    <xdr:rowOff>371475</xdr:rowOff>
                  </from>
                  <to>
                    <xdr:col>6</xdr:col>
                    <xdr:colOff>0</xdr:colOff>
                    <xdr:row>15</xdr:row>
                    <xdr:rowOff>371475</xdr:rowOff>
                  </to>
                </anchor>
              </controlPr>
            </control>
          </mc:Choice>
        </mc:AlternateContent>
        <mc:AlternateContent xmlns:mc="http://schemas.openxmlformats.org/markup-compatibility/2006">
          <mc:Choice Requires="x14">
            <control shapeId="21553" r:id="rId15" name="Check Box 49">
              <controlPr defaultSize="0" autoFill="0" autoLine="0" autoPict="0">
                <anchor moveWithCells="1">
                  <from>
                    <xdr:col>5</xdr:col>
                    <xdr:colOff>466725</xdr:colOff>
                    <xdr:row>10</xdr:row>
                    <xdr:rowOff>0</xdr:rowOff>
                  </from>
                  <to>
                    <xdr:col>6</xdr:col>
                    <xdr:colOff>0</xdr:colOff>
                    <xdr:row>11</xdr:row>
                    <xdr:rowOff>0</xdr:rowOff>
                  </to>
                </anchor>
              </controlPr>
            </control>
          </mc:Choice>
        </mc:AlternateContent>
        <mc:AlternateContent xmlns:mc="http://schemas.openxmlformats.org/markup-compatibility/2006">
          <mc:Choice Requires="x14">
            <control shapeId="21557" r:id="rId16" name="Check Box 53">
              <controlPr defaultSize="0" autoFill="0" autoLine="0" autoPict="0">
                <anchor moveWithCells="1">
                  <from>
                    <xdr:col>5</xdr:col>
                    <xdr:colOff>466725</xdr:colOff>
                    <xdr:row>6</xdr:row>
                    <xdr:rowOff>381000</xdr:rowOff>
                  </from>
                  <to>
                    <xdr:col>5</xdr:col>
                    <xdr:colOff>1190625</xdr:colOff>
                    <xdr:row>8</xdr:row>
                    <xdr:rowOff>0</xdr:rowOff>
                  </to>
                </anchor>
              </controlPr>
            </control>
          </mc:Choice>
        </mc:AlternateContent>
        <mc:AlternateContent xmlns:mc="http://schemas.openxmlformats.org/markup-compatibility/2006">
          <mc:Choice Requires="x14">
            <control shapeId="21570" r:id="rId17" name="Check Box 66">
              <controlPr defaultSize="0" autoFill="0" autoLine="0" autoPict="0">
                <anchor moveWithCells="1">
                  <from>
                    <xdr:col>5</xdr:col>
                    <xdr:colOff>466725</xdr:colOff>
                    <xdr:row>24</xdr:row>
                    <xdr:rowOff>0</xdr:rowOff>
                  </from>
                  <to>
                    <xdr:col>6</xdr:col>
                    <xdr:colOff>0</xdr:colOff>
                    <xdr:row>25</xdr:row>
                    <xdr:rowOff>0</xdr:rowOff>
                  </to>
                </anchor>
              </controlPr>
            </control>
          </mc:Choice>
        </mc:AlternateContent>
        <mc:AlternateContent xmlns:mc="http://schemas.openxmlformats.org/markup-compatibility/2006">
          <mc:Choice Requires="x14">
            <control shapeId="21583" r:id="rId18" name="Check Box 79">
              <controlPr defaultSize="0" autoFill="0" autoLine="0" autoPict="0">
                <anchor moveWithCells="1">
                  <from>
                    <xdr:col>5</xdr:col>
                    <xdr:colOff>466725</xdr:colOff>
                    <xdr:row>7</xdr:row>
                    <xdr:rowOff>381000</xdr:rowOff>
                  </from>
                  <to>
                    <xdr:col>5</xdr:col>
                    <xdr:colOff>1190625</xdr:colOff>
                    <xdr:row>9</xdr:row>
                    <xdr:rowOff>0</xdr:rowOff>
                  </to>
                </anchor>
              </controlPr>
            </control>
          </mc:Choice>
        </mc:AlternateContent>
        <mc:AlternateContent xmlns:mc="http://schemas.openxmlformats.org/markup-compatibility/2006">
          <mc:Choice Requires="x14">
            <control shapeId="21595" r:id="rId19" name="Check Box 91">
              <controlPr defaultSize="0" autoFill="0" autoLine="0" autoPict="0">
                <anchor moveWithCells="1">
                  <from>
                    <xdr:col>5</xdr:col>
                    <xdr:colOff>466725</xdr:colOff>
                    <xdr:row>24</xdr:row>
                    <xdr:rowOff>0</xdr:rowOff>
                  </from>
                  <to>
                    <xdr:col>6</xdr:col>
                    <xdr:colOff>0</xdr:colOff>
                    <xdr:row>25</xdr:row>
                    <xdr:rowOff>0</xdr:rowOff>
                  </to>
                </anchor>
              </controlPr>
            </control>
          </mc:Choice>
        </mc:AlternateContent>
        <mc:AlternateContent xmlns:mc="http://schemas.openxmlformats.org/markup-compatibility/2006">
          <mc:Choice Requires="x14">
            <control shapeId="21596" r:id="rId20" name="Check Box 92">
              <controlPr defaultSize="0" autoFill="0" autoLine="0" autoPict="0">
                <anchor moveWithCells="1">
                  <from>
                    <xdr:col>5</xdr:col>
                    <xdr:colOff>466725</xdr:colOff>
                    <xdr:row>24</xdr:row>
                    <xdr:rowOff>0</xdr:rowOff>
                  </from>
                  <to>
                    <xdr:col>6</xdr:col>
                    <xdr:colOff>0</xdr:colOff>
                    <xdr:row>25</xdr:row>
                    <xdr:rowOff>0</xdr:rowOff>
                  </to>
                </anchor>
              </controlPr>
            </control>
          </mc:Choice>
        </mc:AlternateContent>
        <mc:AlternateContent xmlns:mc="http://schemas.openxmlformats.org/markup-compatibility/2006">
          <mc:Choice Requires="x14">
            <control shapeId="21599" r:id="rId21" name="Check Box 95">
              <controlPr defaultSize="0" autoFill="0" autoLine="0" autoPict="0">
                <anchor moveWithCells="1">
                  <from>
                    <xdr:col>5</xdr:col>
                    <xdr:colOff>466725</xdr:colOff>
                    <xdr:row>20</xdr:row>
                    <xdr:rowOff>9525</xdr:rowOff>
                  </from>
                  <to>
                    <xdr:col>6</xdr:col>
                    <xdr:colOff>0</xdr:colOff>
                    <xdr:row>21</xdr:row>
                    <xdr:rowOff>9525</xdr:rowOff>
                  </to>
                </anchor>
              </controlPr>
            </control>
          </mc:Choice>
        </mc:AlternateContent>
        <mc:AlternateContent xmlns:mc="http://schemas.openxmlformats.org/markup-compatibility/2006">
          <mc:Choice Requires="x14">
            <control shapeId="21600" r:id="rId22" name="Check Box 96">
              <controlPr defaultSize="0" autoFill="0" autoLine="0" autoPict="0">
                <anchor moveWithCells="1">
                  <from>
                    <xdr:col>5</xdr:col>
                    <xdr:colOff>466725</xdr:colOff>
                    <xdr:row>21</xdr:row>
                    <xdr:rowOff>9525</xdr:rowOff>
                  </from>
                  <to>
                    <xdr:col>6</xdr:col>
                    <xdr:colOff>0</xdr:colOff>
                    <xdr:row>22</xdr:row>
                    <xdr:rowOff>9525</xdr:rowOff>
                  </to>
                </anchor>
              </controlPr>
            </control>
          </mc:Choice>
        </mc:AlternateContent>
        <mc:AlternateContent xmlns:mc="http://schemas.openxmlformats.org/markup-compatibility/2006">
          <mc:Choice Requires="x14">
            <control shapeId="21601" r:id="rId23" name="Check Box 97">
              <controlPr defaultSize="0" autoFill="0" autoLine="0" autoPict="0">
                <anchor moveWithCells="1">
                  <from>
                    <xdr:col>5</xdr:col>
                    <xdr:colOff>466725</xdr:colOff>
                    <xdr:row>22</xdr:row>
                    <xdr:rowOff>9525</xdr:rowOff>
                  </from>
                  <to>
                    <xdr:col>6</xdr:col>
                    <xdr:colOff>0</xdr:colOff>
                    <xdr:row>23</xdr:row>
                    <xdr:rowOff>9525</xdr:rowOff>
                  </to>
                </anchor>
              </controlPr>
            </control>
          </mc:Choice>
        </mc:AlternateContent>
        <mc:AlternateContent xmlns:mc="http://schemas.openxmlformats.org/markup-compatibility/2006">
          <mc:Choice Requires="x14">
            <control shapeId="21602" r:id="rId24" name="Check Box 98">
              <controlPr defaultSize="0" autoFill="0" autoLine="0" autoPict="0">
                <anchor moveWithCells="1">
                  <from>
                    <xdr:col>5</xdr:col>
                    <xdr:colOff>466725</xdr:colOff>
                    <xdr:row>23</xdr:row>
                    <xdr:rowOff>9525</xdr:rowOff>
                  </from>
                  <to>
                    <xdr:col>6</xdr:col>
                    <xdr:colOff>0</xdr:colOff>
                    <xdr:row>24</xdr:row>
                    <xdr:rowOff>9525</xdr:rowOff>
                  </to>
                </anchor>
              </controlPr>
            </control>
          </mc:Choice>
        </mc:AlternateContent>
        <mc:AlternateContent xmlns:mc="http://schemas.openxmlformats.org/markup-compatibility/2006">
          <mc:Choice Requires="x14">
            <control shapeId="21603" r:id="rId25" name="Check Box 99">
              <controlPr defaultSize="0" autoFill="0" autoLine="0" autoPict="0">
                <anchor moveWithCells="1">
                  <from>
                    <xdr:col>5</xdr:col>
                    <xdr:colOff>466725</xdr:colOff>
                    <xdr:row>10</xdr:row>
                    <xdr:rowOff>371475</xdr:rowOff>
                  </from>
                  <to>
                    <xdr:col>6</xdr:col>
                    <xdr:colOff>0</xdr:colOff>
                    <xdr:row>11</xdr:row>
                    <xdr:rowOff>371475</xdr:rowOff>
                  </to>
                </anchor>
              </controlPr>
            </control>
          </mc:Choice>
        </mc:AlternateContent>
      </controls>
    </mc:Choice>
  </mc:AlternateContent>
  <extLst>
    <ext xmlns:x14="http://schemas.microsoft.com/office/spreadsheetml/2009/9/main" uri="{CCE6A557-97BC-4b89-ADB6-D9C93CAAB3DF}">
      <x14:dataValidations xmlns:xm="http://schemas.microsoft.com/office/excel/2006/main" disablePrompts="1" count="2">
        <x14:dataValidation type="list" allowBlank="1" showInputMessage="1" showErrorMessage="1" prompt="Valitse osuus_x000a_pudotusvalikosta." xr:uid="{CA466909-4961-2A46-8A10-91A87AF9B8DA}">
          <x14:formula1>
            <xm:f>Kelpoisuusehdot!$A$21:$A$26</xm:f>
          </x14:formula1>
          <xm:sqref>F4</xm:sqref>
        </x14:dataValidation>
        <x14:dataValidation type="list" allowBlank="1" showInputMessage="1" showErrorMessage="1" prompt="Valitse määrä_x000a_pudotusvalikosta." xr:uid="{7BB14B7F-2D8D-8D40-8221-9DB560D2C2C5}">
          <x14:formula1>
            <xm:f>Kelpoisuusehdot!$A$29:$A$33</xm:f>
          </x14:formula1>
          <xm:sqref>F5</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Taul1">
    <tabColor rgb="FFEFF1F5"/>
    <pageSetUpPr autoPageBreaks="0" fitToPage="1"/>
  </sheetPr>
  <dimension ref="B1:L53"/>
  <sheetViews>
    <sheetView zoomScaleNormal="100" workbookViewId="0">
      <selection activeCell="H21" sqref="H21:J22"/>
    </sheetView>
  </sheetViews>
  <sheetFormatPr defaultColWidth="9.140625" defaultRowHeight="14.25"/>
  <cols>
    <col min="1" max="2" width="3.28515625" style="74" customWidth="1"/>
    <col min="3" max="3" width="20.85546875" style="74" customWidth="1"/>
    <col min="4" max="4" width="15.85546875" style="74" customWidth="1"/>
    <col min="5" max="5" width="5.85546875" style="74" customWidth="1"/>
    <col min="6" max="6" width="30.85546875" style="74" customWidth="1"/>
    <col min="7" max="7" width="5.85546875" style="74" customWidth="1"/>
    <col min="8" max="8" width="30.85546875" style="74" customWidth="1"/>
    <col min="9" max="10" width="15.85546875" style="74" customWidth="1"/>
    <col min="11" max="12" width="3.28515625" style="74" customWidth="1"/>
    <col min="13" max="16384" width="9.140625" style="74"/>
  </cols>
  <sheetData>
    <row r="1" spans="2:12" ht="20.100000000000001" customHeight="1"/>
    <row r="2" spans="2:12" ht="20.100000000000001" customHeight="1">
      <c r="B2" s="394"/>
      <c r="C2" s="833" t="str">
        <f>"Porvoon viherkerrointyökalu, versio " &amp;Anvisningar!D3</f>
        <v>Porvoon viherkerrointyökalu, versio 3/2024</v>
      </c>
      <c r="D2" s="833"/>
      <c r="E2" s="395"/>
      <c r="F2" s="395"/>
      <c r="G2" s="395"/>
      <c r="H2" s="395"/>
      <c r="I2" s="395"/>
      <c r="J2" s="395"/>
      <c r="K2" s="396"/>
    </row>
    <row r="3" spans="2:12" ht="20.100000000000001" customHeight="1">
      <c r="B3" s="397"/>
      <c r="C3" s="854" t="s">
        <v>127</v>
      </c>
      <c r="D3" s="854"/>
      <c r="E3" s="258"/>
      <c r="K3" s="398"/>
    </row>
    <row r="4" spans="2:12" ht="20.100000000000001" customHeight="1">
      <c r="B4" s="397"/>
      <c r="C4" s="854"/>
      <c r="D4" s="854"/>
      <c r="F4" s="399" t="s">
        <v>750</v>
      </c>
      <c r="G4" s="399"/>
      <c r="H4" s="400" t="s">
        <v>751</v>
      </c>
      <c r="K4" s="401"/>
    </row>
    <row r="5" spans="2:12" ht="20.100000000000001" customHeight="1">
      <c r="B5" s="397"/>
      <c r="C5" s="402"/>
      <c r="D5" s="402"/>
      <c r="F5" s="139" t="str">
        <f>IF(Avgränsningar!B3&gt;0,Avgränsningar!B3,"-")</f>
        <v>-</v>
      </c>
      <c r="G5" s="139"/>
      <c r="H5" s="403" t="str">
        <f>IF(Avgränsningar!D3&gt;0,Avgränsningar!D3,"-")</f>
        <v>-</v>
      </c>
      <c r="K5" s="401"/>
    </row>
    <row r="6" spans="2:12" ht="20.100000000000001" customHeight="1">
      <c r="B6" s="397"/>
      <c r="C6" s="857" t="s">
        <v>752</v>
      </c>
      <c r="D6" s="857"/>
      <c r="F6" s="400" t="s">
        <v>753</v>
      </c>
      <c r="G6" s="400"/>
      <c r="H6" s="400" t="s">
        <v>754</v>
      </c>
      <c r="K6" s="398"/>
    </row>
    <row r="7" spans="2:12" ht="20.100000000000001" customHeight="1">
      <c r="B7" s="397"/>
      <c r="C7" s="858" t="str">
        <f>IF(Avgränsningar!B6&gt;0,Avgränsningar!B6,"-")</f>
        <v>-</v>
      </c>
      <c r="D7" s="858"/>
      <c r="F7" s="140" t="str">
        <f>IF(Avgränsningar!D6&gt;0,Avgränsningar!D6,"-")</f>
        <v>-</v>
      </c>
      <c r="G7" s="140"/>
      <c r="H7" s="140" t="str">
        <f>IF(Avgränsningar!F6&gt;0,Avgränsningar!F6,"-")</f>
        <v>-</v>
      </c>
      <c r="K7" s="398"/>
    </row>
    <row r="8" spans="2:12" ht="20.100000000000001" customHeight="1">
      <c r="B8" s="397"/>
      <c r="C8" s="834" t="s">
        <v>413</v>
      </c>
      <c r="D8" s="834"/>
      <c r="F8" s="834" t="s">
        <v>414</v>
      </c>
      <c r="G8" s="404"/>
      <c r="H8" s="834" t="s">
        <v>235</v>
      </c>
      <c r="I8" s="834"/>
      <c r="J8" s="834"/>
      <c r="K8" s="398"/>
    </row>
    <row r="9" spans="2:12" ht="20.100000000000001" customHeight="1">
      <c r="B9" s="405"/>
      <c r="C9" s="834"/>
      <c r="D9" s="834"/>
      <c r="F9" s="834"/>
      <c r="G9" s="404"/>
      <c r="H9" s="834"/>
      <c r="I9" s="834"/>
      <c r="J9" s="834"/>
      <c r="K9" s="398"/>
    </row>
    <row r="10" spans="2:12" ht="20.100000000000001" customHeight="1">
      <c r="B10" s="397"/>
      <c r="C10" s="835" t="str">
        <f ca="1">IF(D10&lt;D12,"Viherkerroin jää alle tavoitetason!","Viherkerroin")</f>
        <v>Viherkerroin</v>
      </c>
      <c r="D10" s="859" t="str">
        <f>IF(Grönkoefficient!B7=0,"-",Grönkoefficient!B3)</f>
        <v>-</v>
      </c>
      <c r="F10" s="385" t="s">
        <v>755</v>
      </c>
      <c r="G10" s="404"/>
      <c r="H10" s="855" t="s">
        <v>756</v>
      </c>
      <c r="I10" s="839" t="s">
        <v>411</v>
      </c>
      <c r="J10" s="839" t="s">
        <v>412</v>
      </c>
      <c r="K10" s="406"/>
      <c r="L10" s="258"/>
    </row>
    <row r="11" spans="2:12" ht="20.100000000000001" customHeight="1">
      <c r="B11" s="397"/>
      <c r="C11" s="837"/>
      <c r="D11" s="860"/>
      <c r="F11" s="391" t="e">
        <f>Grönkoefficient!B17</f>
        <v>#DIV/0!</v>
      </c>
      <c r="G11" s="404"/>
      <c r="H11" s="856"/>
      <c r="I11" s="840"/>
      <c r="J11" s="840"/>
      <c r="K11" s="398"/>
    </row>
    <row r="12" spans="2:12" ht="20.100000000000001" customHeight="1">
      <c r="B12" s="397"/>
      <c r="C12" s="861" t="s">
        <v>757</v>
      </c>
      <c r="D12" s="863">
        <f ca="1">Avgränsningar!J9</f>
        <v>1.2</v>
      </c>
      <c r="F12" s="386" t="s">
        <v>460</v>
      </c>
      <c r="H12" s="388" t="s">
        <v>9</v>
      </c>
      <c r="I12" s="384">
        <f>Painokertoimet!BA20</f>
        <v>0</v>
      </c>
      <c r="J12" s="384">
        <f>Painokertoimet!BB20</f>
        <v>8</v>
      </c>
      <c r="K12" s="401"/>
    </row>
    <row r="13" spans="2:12" ht="20.100000000000001" customHeight="1">
      <c r="B13" s="397"/>
      <c r="C13" s="862"/>
      <c r="D13" s="864"/>
      <c r="F13" s="391" t="e">
        <f>Grönkoefficient!B13</f>
        <v>#DIV/0!</v>
      </c>
      <c r="H13" s="383" t="s">
        <v>10</v>
      </c>
      <c r="I13" s="384">
        <f>Painokertoimet!BA21</f>
        <v>0</v>
      </c>
      <c r="J13" s="384">
        <f>Painokertoimet!BB21</f>
        <v>12</v>
      </c>
      <c r="K13" s="398"/>
    </row>
    <row r="14" spans="2:12" ht="20.100000000000001" customHeight="1">
      <c r="B14" s="397"/>
      <c r="C14" s="407"/>
      <c r="D14" s="407"/>
      <c r="F14" s="841" t="s">
        <v>461</v>
      </c>
      <c r="H14" s="383" t="s">
        <v>275</v>
      </c>
      <c r="I14" s="384">
        <f>Painokertoimet!BA22</f>
        <v>0</v>
      </c>
      <c r="J14" s="384">
        <f>Painokertoimet!BB22</f>
        <v>4</v>
      </c>
      <c r="K14" s="398"/>
      <c r="L14" s="16"/>
    </row>
    <row r="15" spans="2:12" ht="20.100000000000001" customHeight="1">
      <c r="B15" s="397"/>
      <c r="C15" s="834" t="s">
        <v>415</v>
      </c>
      <c r="D15" s="834"/>
      <c r="F15" s="842"/>
      <c r="H15" s="383" t="s">
        <v>758</v>
      </c>
      <c r="I15" s="384">
        <f>Painokertoimet!BA23</f>
        <v>0</v>
      </c>
      <c r="J15" s="384">
        <f>Painokertoimet!BB23</f>
        <v>2</v>
      </c>
      <c r="K15" s="398"/>
    </row>
    <row r="16" spans="2:12" ht="20.100000000000001" customHeight="1">
      <c r="B16" s="397"/>
      <c r="C16" s="834"/>
      <c r="D16" s="834"/>
      <c r="F16" s="392">
        <f>(Grönkoefficient!I31+Grönkoefficient!I32+Grönkoefficient!I33)*Avgränsningar!C43+Grönkoefficient!I35+Grönkoefficient!I36+(Grönkoefficient!I30+Grönkoefficient!I34)*Avgränsningar!C44</f>
        <v>0</v>
      </c>
      <c r="H16" s="383" t="s">
        <v>759</v>
      </c>
      <c r="I16" s="384">
        <f>Painokertoimet!BA24</f>
        <v>0</v>
      </c>
      <c r="J16" s="384">
        <f>Painokertoimet!BB24</f>
        <v>8</v>
      </c>
      <c r="K16" s="398"/>
    </row>
    <row r="17" spans="2:11" ht="20.100000000000001" customHeight="1">
      <c r="B17" s="397"/>
      <c r="C17" s="835" t="str">
        <f>IF(Naturräknare!I34=-2,"Luontolaskuria ei ole täytetty",IF(Naturräknare!I34&lt;=4,"Tavoitetasoa ei saavutettu!","Tavoitetaso saavutettu!"))</f>
        <v>Luontolaskuria ei ole täytetty</v>
      </c>
      <c r="D17" s="836"/>
      <c r="F17" s="386" t="s">
        <v>462</v>
      </c>
      <c r="H17" s="383" t="s">
        <v>760</v>
      </c>
      <c r="I17" s="384">
        <f>Painokertoimet!BA25</f>
        <v>0</v>
      </c>
      <c r="J17" s="384">
        <f>Painokertoimet!BB25</f>
        <v>8</v>
      </c>
      <c r="K17" s="398"/>
    </row>
    <row r="18" spans="2:11" ht="20.100000000000001" customHeight="1">
      <c r="B18" s="397"/>
      <c r="C18" s="837"/>
      <c r="D18" s="838"/>
      <c r="F18" s="742" t="e">
        <f>IF((F13-F16)&lt;0,0,F13-F16)</f>
        <v>#DIV/0!</v>
      </c>
      <c r="H18" s="389" t="s">
        <v>16</v>
      </c>
      <c r="I18" s="390">
        <f>Painokertoimet!BA26</f>
        <v>0</v>
      </c>
      <c r="J18" s="390">
        <f>Painokertoimet!BB26</f>
        <v>42</v>
      </c>
      <c r="K18" s="398"/>
    </row>
    <row r="19" spans="2:11" ht="20.100000000000001" customHeight="1">
      <c r="B19" s="397"/>
      <c r="C19" s="865" t="str">
        <f>IF(Naturräknare!I34&gt;-2,Naturräknare!I3,"Tulosta ei voida näyttää")</f>
        <v>Tulosta ei voida näyttää</v>
      </c>
      <c r="D19" s="866"/>
      <c r="F19" s="387" t="s">
        <v>188</v>
      </c>
      <c r="H19" s="408"/>
      <c r="I19" s="408"/>
      <c r="K19" s="398"/>
    </row>
    <row r="20" spans="2:11" ht="20.100000000000001" customHeight="1">
      <c r="B20" s="397"/>
      <c r="C20" s="865"/>
      <c r="D20" s="866"/>
      <c r="F20" s="393" t="e">
        <f>Grönkoefficient!I29/Grönkoefficient!B7</f>
        <v>#DIV/0!</v>
      </c>
      <c r="H20" s="409" t="s">
        <v>229</v>
      </c>
      <c r="I20" s="410"/>
      <c r="K20" s="406"/>
    </row>
    <row r="21" spans="2:11" ht="20.100000000000001" customHeight="1">
      <c r="B21" s="397"/>
      <c r="C21" s="867"/>
      <c r="D21" s="868"/>
      <c r="H21" s="869"/>
      <c r="I21" s="870"/>
      <c r="J21" s="871"/>
      <c r="K21" s="406"/>
    </row>
    <row r="22" spans="2:11" ht="20.100000000000001" customHeight="1">
      <c r="B22" s="397"/>
      <c r="H22" s="872"/>
      <c r="I22" s="873"/>
      <c r="J22" s="874"/>
      <c r="K22" s="398"/>
    </row>
    <row r="23" spans="2:11" ht="20.100000000000001" customHeight="1">
      <c r="B23" s="397"/>
      <c r="C23" s="409" t="s">
        <v>228</v>
      </c>
      <c r="K23" s="398"/>
    </row>
    <row r="24" spans="2:11" ht="20.100000000000001" customHeight="1">
      <c r="B24" s="397"/>
      <c r="C24" s="843" t="e">
        <f>Avgränsningar!D55&amp;IF(Naturräknare!G39=-2,"- "&amp;Naturräknare!I51," ")</f>
        <v>#DIV/0!</v>
      </c>
      <c r="D24" s="844"/>
      <c r="E24" s="844"/>
      <c r="F24" s="844"/>
      <c r="G24" s="844"/>
      <c r="H24" s="844"/>
      <c r="I24" s="844"/>
      <c r="J24" s="845"/>
      <c r="K24" s="398"/>
    </row>
    <row r="25" spans="2:11" ht="20.100000000000001" customHeight="1">
      <c r="B25" s="397"/>
      <c r="C25" s="846"/>
      <c r="D25" s="847"/>
      <c r="E25" s="847"/>
      <c r="F25" s="847"/>
      <c r="G25" s="847"/>
      <c r="H25" s="847"/>
      <c r="I25" s="847"/>
      <c r="J25" s="848"/>
      <c r="K25" s="398"/>
    </row>
    <row r="26" spans="2:11" ht="20.100000000000001" customHeight="1">
      <c r="B26" s="397"/>
      <c r="C26" s="849"/>
      <c r="D26" s="850"/>
      <c r="E26" s="850"/>
      <c r="F26" s="850"/>
      <c r="G26" s="850"/>
      <c r="H26" s="850"/>
      <c r="I26" s="850"/>
      <c r="J26" s="851"/>
      <c r="K26" s="398"/>
    </row>
    <row r="27" spans="2:11" ht="20.100000000000001" customHeight="1">
      <c r="B27" s="397"/>
      <c r="K27" s="398"/>
    </row>
    <row r="28" spans="2:11" ht="20.100000000000001" customHeight="1">
      <c r="B28" s="397"/>
      <c r="K28" s="401"/>
    </row>
    <row r="29" spans="2:11" ht="20.100000000000001" customHeight="1">
      <c r="B29" s="397"/>
      <c r="K29" s="398"/>
    </row>
    <row r="30" spans="2:11" ht="20.100000000000001" customHeight="1">
      <c r="B30" s="397"/>
      <c r="K30" s="401"/>
    </row>
    <row r="31" spans="2:11" ht="20.100000000000001" customHeight="1">
      <c r="B31" s="397"/>
      <c r="K31" s="398"/>
    </row>
    <row r="32" spans="2:11" ht="20.100000000000001" customHeight="1">
      <c r="B32" s="397"/>
      <c r="K32" s="398"/>
    </row>
    <row r="33" spans="2:11" ht="20.100000000000001" customHeight="1">
      <c r="B33" s="397"/>
      <c r="K33" s="401"/>
    </row>
    <row r="34" spans="2:11" ht="20.100000000000001" customHeight="1">
      <c r="B34" s="397"/>
      <c r="K34" s="398"/>
    </row>
    <row r="35" spans="2:11" ht="20.100000000000001" customHeight="1">
      <c r="B35" s="397"/>
      <c r="K35" s="398"/>
    </row>
    <row r="36" spans="2:11" ht="20.100000000000001" customHeight="1">
      <c r="B36" s="397"/>
      <c r="K36" s="398"/>
    </row>
    <row r="37" spans="2:11" ht="20.100000000000001" customHeight="1">
      <c r="B37" s="397"/>
      <c r="K37" s="398"/>
    </row>
    <row r="38" spans="2:11" ht="20.100000000000001" customHeight="1">
      <c r="B38" s="397"/>
      <c r="K38" s="398"/>
    </row>
    <row r="39" spans="2:11" ht="20.100000000000001" customHeight="1">
      <c r="B39" s="397"/>
      <c r="K39" s="398"/>
    </row>
    <row r="40" spans="2:11" ht="20.100000000000001" customHeight="1">
      <c r="B40" s="397"/>
      <c r="K40" s="398"/>
    </row>
    <row r="41" spans="2:11" ht="20.100000000000001" customHeight="1">
      <c r="B41" s="397"/>
      <c r="K41" s="398"/>
    </row>
    <row r="42" spans="2:11" ht="20.100000000000001" customHeight="1">
      <c r="B42" s="397"/>
      <c r="K42" s="411"/>
    </row>
    <row r="43" spans="2:11" ht="20.100000000000001" customHeight="1">
      <c r="B43" s="397"/>
      <c r="K43" s="398"/>
    </row>
    <row r="44" spans="2:11" ht="20.100000000000001" customHeight="1">
      <c r="B44" s="397"/>
      <c r="K44" s="398"/>
    </row>
    <row r="45" spans="2:11" ht="20.100000000000001" customHeight="1">
      <c r="B45" s="397"/>
      <c r="K45" s="398"/>
    </row>
    <row r="46" spans="2:11" ht="20.100000000000001" customHeight="1">
      <c r="B46" s="397"/>
      <c r="K46" s="398"/>
    </row>
    <row r="47" spans="2:11" ht="20.100000000000001" customHeight="1">
      <c r="B47" s="397"/>
      <c r="K47" s="398"/>
    </row>
    <row r="48" spans="2:11" ht="20.100000000000001" customHeight="1">
      <c r="B48" s="397"/>
      <c r="K48" s="398"/>
    </row>
    <row r="49" spans="2:11" ht="20.100000000000001" customHeight="1">
      <c r="B49" s="397"/>
      <c r="K49" s="398"/>
    </row>
    <row r="50" spans="2:11" ht="20.100000000000001" customHeight="1">
      <c r="B50" s="397"/>
      <c r="H50" s="412"/>
      <c r="I50" s="412"/>
      <c r="K50" s="398"/>
    </row>
    <row r="51" spans="2:11" ht="20.100000000000001" customHeight="1">
      <c r="B51" s="413"/>
      <c r="C51" s="414"/>
      <c r="D51" s="414"/>
      <c r="E51" s="414"/>
      <c r="F51" s="414"/>
      <c r="G51" s="414"/>
      <c r="H51" s="415"/>
      <c r="I51" s="415"/>
      <c r="J51" s="414"/>
      <c r="K51" s="416"/>
    </row>
    <row r="52" spans="2:11" ht="20.100000000000001" customHeight="1" thickBot="1"/>
    <row r="53" spans="2:11" ht="20.100000000000001" customHeight="1" thickBot="1">
      <c r="B53" s="852" t="s">
        <v>761</v>
      </c>
      <c r="C53" s="853"/>
    </row>
  </sheetData>
  <sheetProtection algorithmName="SHA-512" hashValue="T4TyOCIvsjJFbIjhDGuG46FPGCPCRU00fHHPGI/21lq1TPEIuMA7pMjovhj0tf5XmrsIamiX2lZkWl62H3HntQ==" saltValue="+tnt0oKJmAGw0i0J8PfskA==" spinCount="100000" sheet="1" objects="1" scenarios="1"/>
  <customSheetViews>
    <customSheetView guid="{C0826E8D-7112-6B45-A18A-1E6622F31D95}" scale="110" fitToPage="1">
      <selection activeCell="B50" sqref="B50"/>
      <pageMargins left="0.70866141732283472" right="0.70866141732283472" top="0.74803149606299213" bottom="0.74803149606299213" header="0.31496062992125984" footer="0.31496062992125984"/>
      <pageSetup paperSize="9" scale="71" orientation="portrait" r:id="rId1"/>
    </customSheetView>
  </customSheetViews>
  <mergeCells count="21">
    <mergeCell ref="C24:J26"/>
    <mergeCell ref="B53:C53"/>
    <mergeCell ref="C3:D4"/>
    <mergeCell ref="H10:H11"/>
    <mergeCell ref="I10:I11"/>
    <mergeCell ref="C8:D9"/>
    <mergeCell ref="C6:D6"/>
    <mergeCell ref="C7:D7"/>
    <mergeCell ref="C10:C11"/>
    <mergeCell ref="D10:D11"/>
    <mergeCell ref="C12:C13"/>
    <mergeCell ref="D12:D13"/>
    <mergeCell ref="C15:D16"/>
    <mergeCell ref="C19:D21"/>
    <mergeCell ref="H8:J9"/>
    <mergeCell ref="H21:J22"/>
    <mergeCell ref="C2:D2"/>
    <mergeCell ref="F8:F9"/>
    <mergeCell ref="C17:D18"/>
    <mergeCell ref="J10:J11"/>
    <mergeCell ref="F14:F15"/>
  </mergeCells>
  <conditionalFormatting sqref="C10:C11">
    <cfRule type="containsText" dxfId="14" priority="1" operator="containsText" text="Viherkerroin jää alle tavoitetason!">
      <formula>NOT(ISERROR(SEARCH("Viherkerroin jää alle tavoitetason!",C10)))</formula>
    </cfRule>
    <cfRule type="cellIs" dxfId="13" priority="15" operator="lessThan">
      <formula>$D$12</formula>
    </cfRule>
  </conditionalFormatting>
  <conditionalFormatting sqref="C17">
    <cfRule type="cellIs" dxfId="12" priority="9" operator="lessThan">
      <formula>$D$12</formula>
    </cfRule>
  </conditionalFormatting>
  <conditionalFormatting sqref="C19">
    <cfRule type="containsText" dxfId="11" priority="7" stopIfTrue="1" operator="containsText" text="VIherelementtien ratkaisut eivät tue luonnon monimuotoisuutta">
      <formula>NOT(ISERROR(SEARCH("VIherelementtien ratkaisut eivät tue luonnon monimuotoisuutta",C19)))</formula>
    </cfRule>
    <cfRule type="containsText" dxfId="10" priority="5" operator="containsText" text="Viherelementtien ratkaisut tukevat luonnon monimuotoisuutta hyvin">
      <formula>NOT(ISERROR(SEARCH("Viherelementtien ratkaisut tukevat luonnon monimuotoisuutta hyvin",C19)))</formula>
    </cfRule>
    <cfRule type="containsText" dxfId="9" priority="6" operator="containsText" text="Viherelementtien ratkaisut tukevat luonnon monimuotoisuutta">
      <formula>NOT(ISERROR(SEARCH("Viherelementtien ratkaisut tukevat luonnon monimuotoisuutta",C19)))</formula>
    </cfRule>
    <cfRule type="containsText" dxfId="8" priority="8" stopIfTrue="1" operator="containsText" text="Viherelementtien ratkaisuista voi olla haittaa luonnon monimuotoisuudelle">
      <formula>NOT(ISERROR(SEARCH("Viherelementtien ratkaisuista voi olla haittaa luonnon monimuotoisuudelle",C19)))</formula>
    </cfRule>
  </conditionalFormatting>
  <conditionalFormatting sqref="C17:D18">
    <cfRule type="containsText" dxfId="7" priority="3" operator="containsText" text="Tavoitetasoa ei saavutettu!">
      <formula>NOT(ISERROR(SEARCH("Tavoitetasoa ei saavutettu!",C17)))</formula>
    </cfRule>
  </conditionalFormatting>
  <conditionalFormatting sqref="C19:D21">
    <cfRule type="containsText" dxfId="6" priority="4" operator="containsText" text="Tulosta ei voida näyttää">
      <formula>NOT(ISERROR(SEARCH("Tulosta ei voida näyttää",C19)))</formula>
    </cfRule>
  </conditionalFormatting>
  <conditionalFormatting sqref="D10:D11">
    <cfRule type="cellIs" dxfId="5" priority="16" operator="lessThan">
      <formula>$D$12</formula>
    </cfRule>
  </conditionalFormatting>
  <conditionalFormatting sqref="F18">
    <cfRule type="cellIs" dxfId="4" priority="14" operator="notEqual">
      <formula>0</formula>
    </cfRule>
  </conditionalFormatting>
  <conditionalFormatting sqref="I12:I17">
    <cfRule type="cellIs" dxfId="3" priority="17" operator="equal">
      <formula>0</formula>
    </cfRule>
  </conditionalFormatting>
  <conditionalFormatting sqref="N14">
    <cfRule type="cellIs" dxfId="2" priority="2" operator="greaterThan">
      <formula>0</formula>
    </cfRule>
  </conditionalFormatting>
  <hyperlinks>
    <hyperlink ref="B53" location="'Grönkoefficient'!A1" display="Edellinen" xr:uid="{06405EF1-5D2C-964C-B7F2-EDC297BFDCD7}"/>
  </hyperlinks>
  <pageMargins left="0.70866141732283472" right="0.70866141732283472" top="0.74803149606299213" bottom="0.74803149606299213" header="0.31496062992125984" footer="0.31496062992125984"/>
  <pageSetup paperSize="9" scale="52" orientation="portrait" r:id="rId2"/>
  <ignoredErrors>
    <ignoredError sqref="C24" evalError="1"/>
  </ignoredErrors>
  <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Taul3">
    <tabColor rgb="FFFFE69D"/>
  </sheetPr>
  <dimension ref="B1:AF89"/>
  <sheetViews>
    <sheetView zoomScaleNormal="100" workbookViewId="0">
      <pane ySplit="1" topLeftCell="A2" activePane="bottomLeft" state="frozen"/>
      <selection pane="bottomLeft"/>
    </sheetView>
  </sheetViews>
  <sheetFormatPr defaultColWidth="9.140625" defaultRowHeight="15"/>
  <cols>
    <col min="1" max="1" width="3.28515625" style="74" customWidth="1"/>
    <col min="2" max="2" width="20" style="134" customWidth="1"/>
    <col min="3" max="3" width="50.85546875" style="74" customWidth="1"/>
    <col min="4" max="4" width="60.85546875" style="135" customWidth="1"/>
    <col min="5" max="5" width="5.85546875" style="42" customWidth="1"/>
    <col min="6" max="6" width="60.85546875" style="135" customWidth="1"/>
    <col min="7" max="7" width="5.85546875" style="42" customWidth="1"/>
    <col min="8" max="8" width="60.85546875" style="136" customWidth="1"/>
    <col min="9" max="9" width="5.85546875" style="42" customWidth="1"/>
    <col min="10" max="10" width="60.85546875" style="135" customWidth="1"/>
    <col min="11" max="11" width="5.85546875" style="42" customWidth="1"/>
    <col min="12" max="12" width="60.85546875" style="135" customWidth="1"/>
    <col min="13" max="13" width="5.85546875" style="42" customWidth="1"/>
    <col min="14" max="14" width="20.85546875" style="23" customWidth="1"/>
    <col min="15" max="15" width="5.85546875" style="36" customWidth="1"/>
    <col min="16" max="16" width="50.85546875" style="74" customWidth="1"/>
    <col min="17" max="17" width="8.85546875" style="36" customWidth="1"/>
    <col min="18" max="18" width="34.140625" style="36" customWidth="1"/>
    <col min="19" max="19" width="30.42578125" style="36" customWidth="1"/>
    <col min="20" max="20" width="46" style="36" customWidth="1"/>
    <col min="21" max="29" width="8.85546875" style="36" customWidth="1"/>
    <col min="30" max="32" width="9.140625" style="36"/>
    <col min="33" max="16384" width="9.140625" style="74"/>
  </cols>
  <sheetData>
    <row r="1" spans="2:32" s="100" customFormat="1" ht="69.95" customHeight="1" thickBot="1">
      <c r="B1" s="243" t="s">
        <v>38</v>
      </c>
      <c r="C1" s="486" t="s">
        <v>1</v>
      </c>
      <c r="D1" s="878" t="s">
        <v>4</v>
      </c>
      <c r="E1" s="880"/>
      <c r="F1" s="878" t="s">
        <v>5</v>
      </c>
      <c r="G1" s="880"/>
      <c r="H1" s="878" t="s">
        <v>12</v>
      </c>
      <c r="I1" s="880"/>
      <c r="J1" s="878" t="s">
        <v>6</v>
      </c>
      <c r="K1" s="879"/>
      <c r="L1" s="878" t="s">
        <v>176</v>
      </c>
      <c r="M1" s="879"/>
      <c r="N1" s="487" t="s">
        <v>13</v>
      </c>
      <c r="O1" s="98"/>
      <c r="P1" s="498" t="s">
        <v>341</v>
      </c>
      <c r="Q1" s="36"/>
      <c r="R1" s="875" t="s">
        <v>22</v>
      </c>
      <c r="S1" s="876"/>
      <c r="T1" s="877"/>
      <c r="U1" s="36"/>
      <c r="V1" s="36"/>
      <c r="W1" s="36"/>
      <c r="X1" s="36"/>
      <c r="Y1" s="36"/>
      <c r="Z1" s="36"/>
      <c r="AA1" s="36"/>
      <c r="AB1" s="36"/>
      <c r="AC1" s="36"/>
      <c r="AD1" s="99"/>
      <c r="AE1" s="99"/>
      <c r="AF1" s="99"/>
    </row>
    <row r="2" spans="2:32" s="104" customFormat="1" ht="170.1" customHeight="1">
      <c r="B2" s="881" t="s">
        <v>762</v>
      </c>
      <c r="C2" s="417" t="s">
        <v>570</v>
      </c>
      <c r="D2" s="424" t="s">
        <v>454</v>
      </c>
      <c r="E2" s="428">
        <v>3</v>
      </c>
      <c r="F2" s="421" t="s">
        <v>55</v>
      </c>
      <c r="G2" s="428">
        <v>3</v>
      </c>
      <c r="H2" s="427" t="s">
        <v>56</v>
      </c>
      <c r="I2" s="429">
        <v>3</v>
      </c>
      <c r="J2" s="421" t="s">
        <v>57</v>
      </c>
      <c r="K2" s="463">
        <v>2.5</v>
      </c>
      <c r="L2" s="421" t="s">
        <v>212</v>
      </c>
      <c r="M2" s="463">
        <v>3</v>
      </c>
      <c r="N2" s="464">
        <v>3.4673611111111109</v>
      </c>
      <c r="O2" s="102"/>
      <c r="P2" s="499" t="s">
        <v>58</v>
      </c>
      <c r="Q2" s="36"/>
      <c r="R2" s="488" t="s">
        <v>14</v>
      </c>
      <c r="S2" s="489" t="s">
        <v>169</v>
      </c>
      <c r="T2" s="490" t="s">
        <v>168</v>
      </c>
      <c r="U2" s="36"/>
      <c r="V2" s="36"/>
      <c r="W2" s="36"/>
      <c r="X2" s="36"/>
      <c r="Y2" s="36"/>
      <c r="Z2" s="36"/>
      <c r="AA2" s="36"/>
      <c r="AB2" s="36"/>
      <c r="AC2" s="36"/>
      <c r="AD2" s="103"/>
      <c r="AE2" s="103"/>
      <c r="AF2" s="103"/>
    </row>
    <row r="3" spans="2:32" s="104" customFormat="1" ht="129.94999999999999" customHeight="1">
      <c r="B3" s="882"/>
      <c r="C3" s="418" t="s">
        <v>571</v>
      </c>
      <c r="D3" s="422" t="s">
        <v>490</v>
      </c>
      <c r="E3" s="206">
        <v>2.5</v>
      </c>
      <c r="F3" s="422" t="s">
        <v>492</v>
      </c>
      <c r="G3" s="206">
        <v>2.5</v>
      </c>
      <c r="H3" s="426" t="s">
        <v>34</v>
      </c>
      <c r="I3" s="430">
        <v>2.8</v>
      </c>
      <c r="J3" s="422" t="s">
        <v>59</v>
      </c>
      <c r="K3" s="465">
        <v>2.5</v>
      </c>
      <c r="L3" s="422" t="s">
        <v>191</v>
      </c>
      <c r="M3" s="465">
        <v>3</v>
      </c>
      <c r="N3" s="230">
        <v>3.1235416666666662</v>
      </c>
      <c r="O3" s="102"/>
      <c r="P3" s="499" t="s">
        <v>60</v>
      </c>
      <c r="Q3" s="36"/>
      <c r="R3" s="491" t="s">
        <v>763</v>
      </c>
      <c r="S3" s="492">
        <v>1.5868055555555554</v>
      </c>
      <c r="T3" s="493" t="s">
        <v>355</v>
      </c>
      <c r="U3" s="36"/>
      <c r="V3" s="36"/>
      <c r="W3" s="36"/>
      <c r="X3" s="36"/>
      <c r="Y3" s="36"/>
      <c r="Z3" s="36"/>
      <c r="AA3" s="36"/>
      <c r="AB3" s="36"/>
      <c r="AC3" s="36"/>
      <c r="AD3" s="103"/>
      <c r="AE3" s="103"/>
      <c r="AF3" s="103"/>
    </row>
    <row r="4" spans="2:32" s="104" customFormat="1" ht="129.94999999999999" customHeight="1">
      <c r="B4" s="882"/>
      <c r="C4" s="418" t="s">
        <v>572</v>
      </c>
      <c r="D4" s="422" t="s">
        <v>494</v>
      </c>
      <c r="E4" s="206">
        <v>2.5</v>
      </c>
      <c r="F4" s="422" t="s">
        <v>533</v>
      </c>
      <c r="G4" s="206">
        <v>2.5</v>
      </c>
      <c r="H4" s="426" t="s">
        <v>764</v>
      </c>
      <c r="I4" s="430">
        <v>3</v>
      </c>
      <c r="J4" s="422" t="s">
        <v>765</v>
      </c>
      <c r="K4" s="465">
        <v>2.5</v>
      </c>
      <c r="L4" s="422" t="s">
        <v>766</v>
      </c>
      <c r="M4" s="465">
        <v>2.5</v>
      </c>
      <c r="N4" s="230">
        <v>3.0322916666666666</v>
      </c>
      <c r="O4" s="102"/>
      <c r="P4" s="499" t="s">
        <v>65</v>
      </c>
      <c r="Q4" s="36"/>
      <c r="R4" s="491" t="s">
        <v>767</v>
      </c>
      <c r="S4" s="492">
        <v>1.5138888888888886</v>
      </c>
      <c r="T4" s="493" t="s">
        <v>356</v>
      </c>
      <c r="U4" s="36"/>
      <c r="V4" s="36"/>
      <c r="W4" s="36"/>
      <c r="X4" s="36"/>
      <c r="Y4" s="36"/>
      <c r="Z4" s="36"/>
      <c r="AA4" s="36"/>
      <c r="AB4" s="36"/>
      <c r="AC4" s="36"/>
      <c r="AD4" s="103"/>
      <c r="AE4" s="103"/>
      <c r="AF4" s="103"/>
    </row>
    <row r="5" spans="2:32" s="104" customFormat="1" ht="129.94999999999999" customHeight="1">
      <c r="B5" s="882"/>
      <c r="C5" s="418" t="s">
        <v>489</v>
      </c>
      <c r="D5" s="422" t="s">
        <v>493</v>
      </c>
      <c r="E5" s="206">
        <v>2.2000000000000002</v>
      </c>
      <c r="F5" s="422" t="s">
        <v>534</v>
      </c>
      <c r="G5" s="206">
        <v>2.2000000000000002</v>
      </c>
      <c r="H5" s="426" t="s">
        <v>768</v>
      </c>
      <c r="I5" s="430">
        <v>2.8</v>
      </c>
      <c r="J5" s="422" t="s">
        <v>769</v>
      </c>
      <c r="K5" s="465">
        <v>2.5</v>
      </c>
      <c r="L5" s="423" t="s">
        <v>770</v>
      </c>
      <c r="M5" s="465">
        <v>2.5</v>
      </c>
      <c r="N5" s="230">
        <v>2.8125</v>
      </c>
      <c r="O5" s="102"/>
      <c r="P5" s="499" t="s">
        <v>69</v>
      </c>
      <c r="Q5" s="36"/>
      <c r="R5" s="491" t="s">
        <v>771</v>
      </c>
      <c r="S5" s="492">
        <v>0.84375</v>
      </c>
      <c r="T5" s="494" t="s">
        <v>372</v>
      </c>
      <c r="U5" s="36"/>
      <c r="V5" s="36"/>
      <c r="W5" s="36"/>
      <c r="X5" s="36"/>
      <c r="Y5" s="36"/>
      <c r="Z5" s="36"/>
      <c r="AA5" s="36"/>
      <c r="AB5" s="36"/>
      <c r="AC5" s="36"/>
      <c r="AD5" s="103"/>
      <c r="AE5" s="103"/>
      <c r="AF5" s="103"/>
    </row>
    <row r="6" spans="2:32" ht="60" customHeight="1">
      <c r="B6" s="882"/>
      <c r="C6" s="418" t="s">
        <v>491</v>
      </c>
      <c r="D6" s="422" t="s">
        <v>61</v>
      </c>
      <c r="E6" s="206">
        <v>2</v>
      </c>
      <c r="F6" s="422" t="s">
        <v>62</v>
      </c>
      <c r="G6" s="206">
        <v>2</v>
      </c>
      <c r="H6" s="426" t="s">
        <v>63</v>
      </c>
      <c r="I6" s="430">
        <v>2</v>
      </c>
      <c r="J6" s="422" t="s">
        <v>64</v>
      </c>
      <c r="K6" s="465">
        <v>2</v>
      </c>
      <c r="L6" s="422" t="s">
        <v>535</v>
      </c>
      <c r="M6" s="465">
        <v>2</v>
      </c>
      <c r="N6" s="230">
        <v>2.3583333333333329</v>
      </c>
      <c r="O6" s="102"/>
      <c r="P6" s="500" t="s">
        <v>342</v>
      </c>
      <c r="R6" s="491" t="s">
        <v>772</v>
      </c>
      <c r="S6" s="492">
        <v>0.70138888888888884</v>
      </c>
      <c r="T6" s="494" t="s">
        <v>371</v>
      </c>
    </row>
    <row r="7" spans="2:32" ht="123" customHeight="1" thickBot="1">
      <c r="B7" s="882"/>
      <c r="C7" s="148" t="s">
        <v>773</v>
      </c>
      <c r="D7" s="107" t="s">
        <v>455</v>
      </c>
      <c r="E7" s="203">
        <v>2</v>
      </c>
      <c r="F7" s="105" t="s">
        <v>288</v>
      </c>
      <c r="G7" s="203">
        <v>1.5</v>
      </c>
      <c r="H7" s="106" t="s">
        <v>67</v>
      </c>
      <c r="I7" s="211">
        <v>2</v>
      </c>
      <c r="J7" s="105" t="s">
        <v>68</v>
      </c>
      <c r="K7" s="217">
        <v>2</v>
      </c>
      <c r="L7" s="105" t="s">
        <v>193</v>
      </c>
      <c r="M7" s="217">
        <v>2</v>
      </c>
      <c r="N7" s="224">
        <v>2.2069444444444444</v>
      </c>
      <c r="O7" s="102"/>
      <c r="P7" s="499" t="s">
        <v>75</v>
      </c>
      <c r="R7" s="495" t="s">
        <v>333</v>
      </c>
      <c r="S7" s="496">
        <v>1.25</v>
      </c>
      <c r="T7" s="497" t="s">
        <v>163</v>
      </c>
    </row>
    <row r="8" spans="2:32" ht="69.95" customHeight="1" thickBot="1">
      <c r="B8" s="883"/>
      <c r="C8" s="148" t="s">
        <v>774</v>
      </c>
      <c r="D8" s="105" t="s">
        <v>283</v>
      </c>
      <c r="E8" s="203">
        <v>1.5</v>
      </c>
      <c r="F8" s="105" t="s">
        <v>284</v>
      </c>
      <c r="G8" s="203">
        <v>1.5</v>
      </c>
      <c r="H8" s="106" t="s">
        <v>285</v>
      </c>
      <c r="I8" s="211">
        <v>1</v>
      </c>
      <c r="J8" s="105" t="s">
        <v>286</v>
      </c>
      <c r="K8" s="211">
        <v>1</v>
      </c>
      <c r="L8" s="105" t="s">
        <v>287</v>
      </c>
      <c r="M8" s="211">
        <v>1</v>
      </c>
      <c r="N8" s="224">
        <v>1.5</v>
      </c>
      <c r="O8" s="102"/>
      <c r="P8" s="499" t="s">
        <v>77</v>
      </c>
      <c r="R8" s="302"/>
      <c r="S8" s="303"/>
      <c r="T8" s="304"/>
    </row>
    <row r="9" spans="2:32" ht="99.95" customHeight="1" thickBot="1">
      <c r="B9" s="108" t="s">
        <v>253</v>
      </c>
      <c r="C9" s="152" t="s">
        <v>70</v>
      </c>
      <c r="D9" s="109" t="s">
        <v>456</v>
      </c>
      <c r="E9" s="210">
        <v>2</v>
      </c>
      <c r="F9" s="110" t="s">
        <v>72</v>
      </c>
      <c r="G9" s="210">
        <v>1</v>
      </c>
      <c r="H9" s="111" t="s">
        <v>289</v>
      </c>
      <c r="I9" s="215">
        <v>3</v>
      </c>
      <c r="J9" s="110" t="s">
        <v>73</v>
      </c>
      <c r="K9" s="219">
        <v>3</v>
      </c>
      <c r="L9" s="110" t="s">
        <v>227</v>
      </c>
      <c r="M9" s="219">
        <v>0</v>
      </c>
      <c r="N9" s="226">
        <v>1.8645833333333333</v>
      </c>
      <c r="O9" s="102"/>
      <c r="P9" s="499" t="s">
        <v>82</v>
      </c>
      <c r="R9" s="302"/>
      <c r="S9" s="303"/>
      <c r="T9" s="304"/>
    </row>
    <row r="10" spans="2:32" ht="84.75" customHeight="1" thickBot="1">
      <c r="B10" s="881" t="s">
        <v>775</v>
      </c>
      <c r="C10" s="419" t="s">
        <v>518</v>
      </c>
      <c r="D10" s="424" t="s">
        <v>322</v>
      </c>
      <c r="E10" s="428">
        <v>2.5</v>
      </c>
      <c r="F10" s="424" t="s">
        <v>32</v>
      </c>
      <c r="G10" s="428">
        <v>2</v>
      </c>
      <c r="H10" s="424" t="s">
        <v>31</v>
      </c>
      <c r="I10" s="429">
        <v>2.8</v>
      </c>
      <c r="J10" s="421" t="s">
        <v>74</v>
      </c>
      <c r="K10" s="431">
        <v>2</v>
      </c>
      <c r="L10" s="421" t="s">
        <v>529</v>
      </c>
      <c r="M10" s="431">
        <v>2.5</v>
      </c>
      <c r="N10" s="464">
        <v>2.7770138888888889</v>
      </c>
      <c r="O10" s="102"/>
      <c r="P10" s="501" t="s">
        <v>85</v>
      </c>
      <c r="R10" s="74"/>
      <c r="S10" s="74"/>
      <c r="T10" s="74"/>
    </row>
    <row r="11" spans="2:32" ht="69.95" customHeight="1">
      <c r="B11" s="882"/>
      <c r="C11" s="420" t="s">
        <v>519</v>
      </c>
      <c r="D11" s="425" t="s">
        <v>520</v>
      </c>
      <c r="E11" s="206">
        <v>2</v>
      </c>
      <c r="F11" s="425" t="s">
        <v>522</v>
      </c>
      <c r="G11" s="206">
        <v>1.5</v>
      </c>
      <c r="H11" s="425" t="s">
        <v>525</v>
      </c>
      <c r="I11" s="430">
        <v>2.6</v>
      </c>
      <c r="J11" s="422" t="s">
        <v>76</v>
      </c>
      <c r="K11" s="432">
        <v>2</v>
      </c>
      <c r="L11" s="422" t="s">
        <v>530</v>
      </c>
      <c r="M11" s="432">
        <v>2.5</v>
      </c>
      <c r="N11" s="230">
        <v>2.4331944444444447</v>
      </c>
      <c r="O11" s="102"/>
      <c r="R11" s="74"/>
      <c r="S11" s="74"/>
      <c r="T11" s="74"/>
    </row>
    <row r="12" spans="2:32" ht="69.95" customHeight="1">
      <c r="B12" s="882"/>
      <c r="C12" s="420" t="s">
        <v>563</v>
      </c>
      <c r="D12" s="425" t="s">
        <v>521</v>
      </c>
      <c r="E12" s="206">
        <v>2</v>
      </c>
      <c r="F12" s="425" t="s">
        <v>523</v>
      </c>
      <c r="G12" s="206">
        <v>1.5</v>
      </c>
      <c r="H12" s="425" t="s">
        <v>526</v>
      </c>
      <c r="I12" s="430">
        <v>2.8</v>
      </c>
      <c r="J12" s="422" t="s">
        <v>528</v>
      </c>
      <c r="K12" s="432">
        <v>2</v>
      </c>
      <c r="L12" s="423" t="s">
        <v>531</v>
      </c>
      <c r="M12" s="432">
        <v>2</v>
      </c>
      <c r="N12" s="230">
        <v>2.3419444444444446</v>
      </c>
      <c r="O12" s="102"/>
      <c r="R12" s="74"/>
      <c r="S12" s="74"/>
      <c r="T12" s="74"/>
    </row>
    <row r="13" spans="2:32" ht="69.95" customHeight="1">
      <c r="B13" s="882"/>
      <c r="C13" s="420" t="s">
        <v>562</v>
      </c>
      <c r="D13" s="425" t="s">
        <v>776</v>
      </c>
      <c r="E13" s="206">
        <v>1.8</v>
      </c>
      <c r="F13" s="425" t="s">
        <v>524</v>
      </c>
      <c r="G13" s="206">
        <v>1.3</v>
      </c>
      <c r="H13" s="425" t="s">
        <v>527</v>
      </c>
      <c r="I13" s="430">
        <v>2.6</v>
      </c>
      <c r="J13" s="422" t="s">
        <v>777</v>
      </c>
      <c r="K13" s="432">
        <v>2</v>
      </c>
      <c r="L13" s="422" t="s">
        <v>532</v>
      </c>
      <c r="M13" s="432">
        <v>2</v>
      </c>
      <c r="N13" s="230">
        <v>2.184166666666667</v>
      </c>
      <c r="O13" s="102"/>
      <c r="P13" s="163"/>
      <c r="R13" s="42"/>
      <c r="S13" s="300"/>
      <c r="T13" s="301"/>
    </row>
    <row r="14" spans="2:32" ht="69.95" customHeight="1">
      <c r="B14" s="882"/>
      <c r="C14" s="466" t="s">
        <v>78</v>
      </c>
      <c r="D14" s="121" t="s">
        <v>26</v>
      </c>
      <c r="E14" s="206">
        <v>1.5</v>
      </c>
      <c r="F14" s="121" t="s">
        <v>79</v>
      </c>
      <c r="G14" s="206">
        <v>1</v>
      </c>
      <c r="H14" s="121" t="s">
        <v>80</v>
      </c>
      <c r="I14" s="430">
        <v>2</v>
      </c>
      <c r="J14" s="120" t="s">
        <v>81</v>
      </c>
      <c r="K14" s="432">
        <v>1.5</v>
      </c>
      <c r="L14" s="120" t="s">
        <v>194</v>
      </c>
      <c r="M14" s="432">
        <v>1.5</v>
      </c>
      <c r="N14" s="230">
        <v>1.7017361111111107</v>
      </c>
      <c r="O14" s="102"/>
      <c r="Q14" s="74"/>
      <c r="R14" s="74"/>
      <c r="S14" s="74"/>
      <c r="T14" s="74"/>
    </row>
    <row r="15" spans="2:32" ht="69.95" customHeight="1">
      <c r="B15" s="882"/>
      <c r="C15" s="466" t="s">
        <v>83</v>
      </c>
      <c r="D15" s="121" t="s">
        <v>25</v>
      </c>
      <c r="E15" s="206">
        <v>1</v>
      </c>
      <c r="F15" s="121" t="s">
        <v>28</v>
      </c>
      <c r="G15" s="206">
        <v>1</v>
      </c>
      <c r="H15" s="121" t="s">
        <v>33</v>
      </c>
      <c r="I15" s="430">
        <v>2</v>
      </c>
      <c r="J15" s="120" t="s">
        <v>84</v>
      </c>
      <c r="K15" s="465">
        <v>1.5</v>
      </c>
      <c r="L15" s="120" t="s">
        <v>195</v>
      </c>
      <c r="M15" s="465">
        <v>1</v>
      </c>
      <c r="N15" s="230">
        <v>1.4180555555555554</v>
      </c>
      <c r="O15" s="102"/>
      <c r="P15" s="112" t="s">
        <v>88</v>
      </c>
    </row>
    <row r="16" spans="2:32" ht="80.099999999999994" customHeight="1">
      <c r="B16" s="882"/>
      <c r="C16" s="466" t="s">
        <v>366</v>
      </c>
      <c r="D16" s="121" t="s">
        <v>290</v>
      </c>
      <c r="E16" s="206">
        <v>1.5</v>
      </c>
      <c r="F16" s="121" t="s">
        <v>29</v>
      </c>
      <c r="G16" s="430">
        <v>1</v>
      </c>
      <c r="H16" s="587" t="s">
        <v>86</v>
      </c>
      <c r="I16" s="430">
        <v>2</v>
      </c>
      <c r="J16" s="120" t="s">
        <v>87</v>
      </c>
      <c r="K16" s="465">
        <v>1</v>
      </c>
      <c r="L16" s="120" t="s">
        <v>196</v>
      </c>
      <c r="M16" s="465">
        <v>1.5</v>
      </c>
      <c r="N16" s="230">
        <v>1.6315972222222221</v>
      </c>
      <c r="O16" s="102"/>
      <c r="P16" s="113" t="s">
        <v>89</v>
      </c>
    </row>
    <row r="17" spans="2:32" ht="80.099999999999994" customHeight="1">
      <c r="B17" s="882"/>
      <c r="C17" s="466" t="s">
        <v>367</v>
      </c>
      <c r="D17" s="121" t="s">
        <v>457</v>
      </c>
      <c r="E17" s="206">
        <v>2</v>
      </c>
      <c r="F17" s="120" t="s">
        <v>292</v>
      </c>
      <c r="G17" s="430">
        <v>1</v>
      </c>
      <c r="H17" s="587" t="s">
        <v>42</v>
      </c>
      <c r="I17" s="430">
        <v>1.5</v>
      </c>
      <c r="J17" s="120" t="s">
        <v>458</v>
      </c>
      <c r="K17" s="465">
        <v>2</v>
      </c>
      <c r="L17" s="120" t="s">
        <v>218</v>
      </c>
      <c r="M17" s="465">
        <v>1.2</v>
      </c>
      <c r="N17" s="230">
        <v>1.7711805555555553</v>
      </c>
      <c r="O17" s="102"/>
      <c r="P17" s="114"/>
    </row>
    <row r="18" spans="2:32" ht="80.099999999999994" customHeight="1">
      <c r="B18" s="882"/>
      <c r="C18" s="158" t="s">
        <v>90</v>
      </c>
      <c r="D18" s="107" t="s">
        <v>294</v>
      </c>
      <c r="E18" s="203">
        <v>1</v>
      </c>
      <c r="F18" s="105" t="s">
        <v>91</v>
      </c>
      <c r="G18" s="211">
        <v>3</v>
      </c>
      <c r="H18" s="106" t="s">
        <v>92</v>
      </c>
      <c r="I18" s="211">
        <v>1.5</v>
      </c>
      <c r="J18" s="105" t="s">
        <v>93</v>
      </c>
      <c r="K18" s="217">
        <v>2</v>
      </c>
      <c r="L18" s="105" t="s">
        <v>197</v>
      </c>
      <c r="M18" s="217">
        <v>1</v>
      </c>
      <c r="N18" s="230">
        <v>2.0093749999999999</v>
      </c>
      <c r="O18" s="102"/>
      <c r="P18" s="115"/>
    </row>
    <row r="19" spans="2:32" ht="90" customHeight="1">
      <c r="B19" s="882"/>
      <c r="C19" s="158" t="s">
        <v>778</v>
      </c>
      <c r="D19" s="107" t="s">
        <v>459</v>
      </c>
      <c r="E19" s="203">
        <v>1.5</v>
      </c>
      <c r="F19" s="105" t="s">
        <v>296</v>
      </c>
      <c r="G19" s="211">
        <v>0.5</v>
      </c>
      <c r="H19" s="106" t="s">
        <v>297</v>
      </c>
      <c r="I19" s="211">
        <v>2</v>
      </c>
      <c r="J19" s="105" t="s">
        <v>299</v>
      </c>
      <c r="K19" s="211">
        <v>1</v>
      </c>
      <c r="L19" s="105" t="s">
        <v>298</v>
      </c>
      <c r="M19" s="211">
        <v>1.5</v>
      </c>
      <c r="N19" s="224">
        <v>1.6</v>
      </c>
      <c r="O19" s="102"/>
    </row>
    <row r="20" spans="2:32" ht="69.95" customHeight="1" thickBot="1">
      <c r="B20" s="883"/>
      <c r="C20" s="173" t="s">
        <v>368</v>
      </c>
      <c r="D20" s="107" t="s">
        <v>300</v>
      </c>
      <c r="E20" s="203">
        <v>0.5</v>
      </c>
      <c r="F20" s="105" t="s">
        <v>30</v>
      </c>
      <c r="G20" s="211">
        <v>1.5</v>
      </c>
      <c r="H20" s="106" t="s">
        <v>35</v>
      </c>
      <c r="I20" s="211">
        <v>1</v>
      </c>
      <c r="J20" s="107" t="s">
        <v>94</v>
      </c>
      <c r="K20" s="217">
        <v>0.5</v>
      </c>
      <c r="L20" s="107" t="s">
        <v>198</v>
      </c>
      <c r="M20" s="217">
        <v>1</v>
      </c>
      <c r="N20" s="230">
        <v>1.101736111111111</v>
      </c>
      <c r="O20" s="102"/>
      <c r="P20" s="114"/>
    </row>
    <row r="21" spans="2:32" ht="69.95" customHeight="1" thickBot="1">
      <c r="B21" s="108" t="s">
        <v>779</v>
      </c>
      <c r="C21" s="174" t="s">
        <v>99</v>
      </c>
      <c r="D21" s="116" t="s">
        <v>258</v>
      </c>
      <c r="E21" s="239">
        <v>1.5</v>
      </c>
      <c r="F21" s="116" t="s">
        <v>27</v>
      </c>
      <c r="G21" s="238">
        <v>1</v>
      </c>
      <c r="H21" s="117" t="s">
        <v>267</v>
      </c>
      <c r="I21" s="238">
        <v>2</v>
      </c>
      <c r="J21" s="118" t="s">
        <v>101</v>
      </c>
      <c r="K21" s="231">
        <v>1.5</v>
      </c>
      <c r="L21" s="118" t="s">
        <v>323</v>
      </c>
      <c r="M21" s="231">
        <v>1</v>
      </c>
      <c r="N21" s="229">
        <v>1.5767361111111109</v>
      </c>
      <c r="O21" s="102"/>
      <c r="P21" s="114"/>
    </row>
    <row r="22" spans="2:32" ht="80.099999999999994" customHeight="1">
      <c r="B22" s="884" t="s">
        <v>780</v>
      </c>
      <c r="C22" s="142" t="s">
        <v>781</v>
      </c>
      <c r="D22" s="101" t="s">
        <v>200</v>
      </c>
      <c r="E22" s="202">
        <v>1.5</v>
      </c>
      <c r="F22" s="101" t="s">
        <v>36</v>
      </c>
      <c r="G22" s="213">
        <v>1</v>
      </c>
      <c r="H22" s="101" t="s">
        <v>102</v>
      </c>
      <c r="I22" s="213">
        <v>2</v>
      </c>
      <c r="J22" s="101" t="s">
        <v>103</v>
      </c>
      <c r="K22" s="213">
        <v>0.5</v>
      </c>
      <c r="L22" s="101" t="s">
        <v>199</v>
      </c>
      <c r="M22" s="216">
        <v>0.25</v>
      </c>
      <c r="N22" s="222">
        <v>1.2489583333333332</v>
      </c>
      <c r="O22" s="102"/>
      <c r="P22" s="119"/>
    </row>
    <row r="23" spans="2:32" ht="120" customHeight="1">
      <c r="B23" s="885"/>
      <c r="C23" s="148" t="s">
        <v>365</v>
      </c>
      <c r="D23" s="107" t="s">
        <v>221</v>
      </c>
      <c r="E23" s="203">
        <v>1.5</v>
      </c>
      <c r="F23" s="105" t="s">
        <v>224</v>
      </c>
      <c r="G23" s="211">
        <v>1.5</v>
      </c>
      <c r="H23" s="106" t="s">
        <v>95</v>
      </c>
      <c r="I23" s="211">
        <v>2</v>
      </c>
      <c r="J23" s="120" t="s">
        <v>96</v>
      </c>
      <c r="K23" s="211">
        <v>1</v>
      </c>
      <c r="L23" s="105" t="s">
        <v>217</v>
      </c>
      <c r="M23" s="217">
        <v>2.5</v>
      </c>
      <c r="N23" s="224">
        <v>2.0329861111111112</v>
      </c>
      <c r="O23" s="102"/>
      <c r="P23" s="115"/>
    </row>
    <row r="24" spans="2:32" ht="90" customHeight="1" thickBot="1">
      <c r="B24" s="886"/>
      <c r="C24" s="148" t="s">
        <v>364</v>
      </c>
      <c r="D24" s="121" t="s">
        <v>325</v>
      </c>
      <c r="E24" s="206">
        <v>1.5</v>
      </c>
      <c r="F24" s="107" t="s">
        <v>223</v>
      </c>
      <c r="G24" s="211">
        <v>1</v>
      </c>
      <c r="H24" s="106" t="s">
        <v>97</v>
      </c>
      <c r="I24" s="211">
        <v>1.5</v>
      </c>
      <c r="J24" s="120" t="s">
        <v>98</v>
      </c>
      <c r="K24" s="211">
        <v>1</v>
      </c>
      <c r="L24" s="105" t="s">
        <v>216</v>
      </c>
      <c r="M24" s="217">
        <v>2</v>
      </c>
      <c r="N24" s="230">
        <v>1.6722222222222221</v>
      </c>
      <c r="O24" s="102"/>
      <c r="P24" s="115"/>
    </row>
    <row r="25" spans="2:32" ht="69.95" customHeight="1" thickBot="1">
      <c r="B25" s="122" t="s">
        <v>782</v>
      </c>
      <c r="C25" s="151" t="s">
        <v>783</v>
      </c>
      <c r="D25" s="126" t="s">
        <v>255</v>
      </c>
      <c r="E25" s="204">
        <v>1</v>
      </c>
      <c r="F25" s="126" t="s">
        <v>220</v>
      </c>
      <c r="G25" s="214">
        <v>1</v>
      </c>
      <c r="H25" s="191" t="s">
        <v>219</v>
      </c>
      <c r="I25" s="214">
        <v>1.5</v>
      </c>
      <c r="J25" s="118" t="s">
        <v>784</v>
      </c>
      <c r="K25" s="214">
        <v>1</v>
      </c>
      <c r="L25" s="127" t="s">
        <v>785</v>
      </c>
      <c r="M25" s="218">
        <v>1.5</v>
      </c>
      <c r="N25" s="225">
        <v>1.3885416666666663</v>
      </c>
      <c r="O25" s="102"/>
      <c r="P25" s="115"/>
    </row>
    <row r="26" spans="2:32" ht="69.95" customHeight="1" thickBot="1">
      <c r="B26" s="241" t="s">
        <v>786</v>
      </c>
      <c r="C26" s="192" t="s">
        <v>190</v>
      </c>
      <c r="D26" s="187" t="s">
        <v>303</v>
      </c>
      <c r="E26" s="240">
        <v>0.2</v>
      </c>
      <c r="F26" s="188" t="s">
        <v>302</v>
      </c>
      <c r="G26" s="235">
        <v>1</v>
      </c>
      <c r="H26" s="189" t="s">
        <v>225</v>
      </c>
      <c r="I26" s="235">
        <v>1</v>
      </c>
      <c r="J26" s="188" t="s">
        <v>105</v>
      </c>
      <c r="K26" s="235">
        <v>2</v>
      </c>
      <c r="L26" s="188" t="s">
        <v>226</v>
      </c>
      <c r="M26" s="232">
        <v>2</v>
      </c>
      <c r="N26" s="227">
        <v>1.3</v>
      </c>
      <c r="O26" s="102"/>
      <c r="P26" s="115"/>
    </row>
    <row r="27" spans="2:32" ht="60.75" customHeight="1" thickBot="1">
      <c r="B27" s="122" t="s">
        <v>787</v>
      </c>
      <c r="C27" s="193" t="s">
        <v>222</v>
      </c>
      <c r="D27" s="194" t="s">
        <v>301</v>
      </c>
      <c r="E27" s="207">
        <v>0.2</v>
      </c>
      <c r="F27" s="195" t="s">
        <v>788</v>
      </c>
      <c r="G27" s="236">
        <v>1</v>
      </c>
      <c r="H27" s="190" t="s">
        <v>39</v>
      </c>
      <c r="I27" s="236">
        <v>1</v>
      </c>
      <c r="J27" s="195" t="s">
        <v>104</v>
      </c>
      <c r="K27" s="236">
        <v>1</v>
      </c>
      <c r="L27" s="195" t="s">
        <v>201</v>
      </c>
      <c r="M27" s="233">
        <v>1</v>
      </c>
      <c r="N27" s="228">
        <v>0.9</v>
      </c>
      <c r="O27" s="102"/>
      <c r="P27" s="115"/>
    </row>
    <row r="28" spans="2:32" ht="63.75">
      <c r="B28" s="881" t="s">
        <v>789</v>
      </c>
      <c r="C28" s="153" t="s">
        <v>334</v>
      </c>
      <c r="D28" s="123" t="s">
        <v>304</v>
      </c>
      <c r="E28" s="208">
        <v>2.5</v>
      </c>
      <c r="F28" s="124" t="s">
        <v>41</v>
      </c>
      <c r="G28" s="237">
        <v>2</v>
      </c>
      <c r="H28" s="125" t="s">
        <v>43</v>
      </c>
      <c r="I28" s="237">
        <v>2.5</v>
      </c>
      <c r="J28" s="124" t="s">
        <v>106</v>
      </c>
      <c r="K28" s="237">
        <v>1.5</v>
      </c>
      <c r="L28" s="124" t="s">
        <v>609</v>
      </c>
      <c r="M28" s="220">
        <v>3</v>
      </c>
      <c r="N28" s="223">
        <v>2.78125</v>
      </c>
      <c r="O28" s="102"/>
      <c r="P28" s="115"/>
    </row>
    <row r="29" spans="2:32" ht="77.25" customHeight="1">
      <c r="B29" s="882"/>
      <c r="C29" s="148" t="s">
        <v>605</v>
      </c>
      <c r="D29" s="107" t="s">
        <v>202</v>
      </c>
      <c r="E29" s="203">
        <v>2.2000000000000002</v>
      </c>
      <c r="F29" s="105" t="s">
        <v>352</v>
      </c>
      <c r="G29" s="211">
        <v>1.5</v>
      </c>
      <c r="H29" s="106" t="s">
        <v>44</v>
      </c>
      <c r="I29" s="211">
        <v>1</v>
      </c>
      <c r="J29" s="105" t="s">
        <v>108</v>
      </c>
      <c r="K29" s="211">
        <v>1</v>
      </c>
      <c r="L29" s="105" t="s">
        <v>608</v>
      </c>
      <c r="M29" s="217">
        <v>3</v>
      </c>
      <c r="N29" s="224">
        <v>2.2113888888888886</v>
      </c>
      <c r="O29" s="102"/>
      <c r="P29" s="115"/>
    </row>
    <row r="30" spans="2:32" ht="69.95" customHeight="1">
      <c r="B30" s="882"/>
      <c r="C30" s="148" t="s">
        <v>606</v>
      </c>
      <c r="D30" s="107" t="s">
        <v>306</v>
      </c>
      <c r="E30" s="203">
        <v>1</v>
      </c>
      <c r="F30" s="105" t="s">
        <v>607</v>
      </c>
      <c r="G30" s="203">
        <v>1</v>
      </c>
      <c r="H30" s="106" t="s">
        <v>790</v>
      </c>
      <c r="I30" s="203">
        <v>0.5</v>
      </c>
      <c r="J30" s="105" t="s">
        <v>612</v>
      </c>
      <c r="K30" s="203">
        <v>1.5</v>
      </c>
      <c r="L30" s="105" t="s">
        <v>613</v>
      </c>
      <c r="M30" s="217">
        <v>2.5</v>
      </c>
      <c r="N30" s="230">
        <v>1.5229166666666665</v>
      </c>
      <c r="O30" s="102"/>
      <c r="P30" s="115"/>
    </row>
    <row r="31" spans="2:32" ht="90" customHeight="1">
      <c r="B31" s="882"/>
      <c r="C31" s="148" t="s">
        <v>335</v>
      </c>
      <c r="D31" s="107" t="s">
        <v>307</v>
      </c>
      <c r="E31" s="203">
        <v>3</v>
      </c>
      <c r="F31" s="105" t="s">
        <v>40</v>
      </c>
      <c r="G31" s="203">
        <v>2</v>
      </c>
      <c r="H31" s="106" t="s">
        <v>109</v>
      </c>
      <c r="I31" s="203">
        <v>1.5</v>
      </c>
      <c r="J31" s="105" t="s">
        <v>110</v>
      </c>
      <c r="K31" s="203">
        <v>2</v>
      </c>
      <c r="L31" s="105" t="s">
        <v>213</v>
      </c>
      <c r="M31" s="234">
        <v>3</v>
      </c>
      <c r="N31" s="230">
        <v>2.8413194444444443</v>
      </c>
      <c r="O31" s="102"/>
      <c r="P31" s="115"/>
    </row>
    <row r="32" spans="2:32" s="131" customFormat="1" ht="69.95" customHeight="1">
      <c r="B32" s="882"/>
      <c r="C32" s="151" t="s">
        <v>337</v>
      </c>
      <c r="D32" s="116" t="s">
        <v>256</v>
      </c>
      <c r="E32" s="239">
        <v>2</v>
      </c>
      <c r="F32" s="118" t="s">
        <v>206</v>
      </c>
      <c r="G32" s="238">
        <v>2</v>
      </c>
      <c r="H32" s="182" t="s">
        <v>326</v>
      </c>
      <c r="I32" s="238">
        <v>1.5</v>
      </c>
      <c r="J32" s="118" t="s">
        <v>111</v>
      </c>
      <c r="K32" s="214">
        <v>1.2</v>
      </c>
      <c r="L32" s="127" t="s">
        <v>215</v>
      </c>
      <c r="M32" s="218">
        <v>3</v>
      </c>
      <c r="N32" s="229">
        <v>2.4117361111111109</v>
      </c>
      <c r="O32" s="129"/>
      <c r="P32" s="130"/>
      <c r="Q32" s="128"/>
      <c r="R32" s="128"/>
      <c r="S32" s="128"/>
      <c r="T32" s="128"/>
      <c r="U32" s="128"/>
      <c r="V32" s="128"/>
      <c r="W32" s="128"/>
      <c r="X32" s="128"/>
      <c r="Y32" s="128"/>
      <c r="Z32" s="128"/>
      <c r="AA32" s="128"/>
      <c r="AB32" s="128"/>
      <c r="AC32" s="128"/>
      <c r="AD32" s="128"/>
      <c r="AE32" s="128"/>
      <c r="AF32" s="128"/>
    </row>
    <row r="33" spans="2:32" s="131" customFormat="1" ht="110.1" customHeight="1" thickBot="1">
      <c r="B33" s="883"/>
      <c r="C33" s="148" t="s">
        <v>277</v>
      </c>
      <c r="D33" s="107" t="s">
        <v>309</v>
      </c>
      <c r="E33" s="203">
        <v>2</v>
      </c>
      <c r="F33" s="105" t="s">
        <v>310</v>
      </c>
      <c r="G33" s="211">
        <v>1.5</v>
      </c>
      <c r="H33" s="106" t="s">
        <v>311</v>
      </c>
      <c r="I33" s="211">
        <v>0</v>
      </c>
      <c r="J33" s="105" t="s">
        <v>312</v>
      </c>
      <c r="K33" s="211">
        <v>1</v>
      </c>
      <c r="L33" s="105" t="s">
        <v>313</v>
      </c>
      <c r="M33" s="211">
        <v>1.5</v>
      </c>
      <c r="N33" s="230">
        <v>1.6</v>
      </c>
      <c r="O33" s="129"/>
      <c r="P33" s="130"/>
      <c r="Q33" s="128"/>
      <c r="R33" s="128"/>
      <c r="S33" s="128"/>
      <c r="T33" s="128"/>
      <c r="U33" s="128"/>
      <c r="V33" s="128"/>
      <c r="W33" s="128"/>
      <c r="X33" s="128"/>
      <c r="Y33" s="128"/>
      <c r="Z33" s="128"/>
      <c r="AA33" s="128"/>
      <c r="AB33" s="128"/>
      <c r="AC33" s="128"/>
      <c r="AD33" s="128"/>
      <c r="AE33" s="128"/>
      <c r="AF33" s="128"/>
    </row>
    <row r="34" spans="2:32" s="131" customFormat="1" ht="69.95" customHeight="1" thickBot="1">
      <c r="B34" s="181" t="s">
        <v>791</v>
      </c>
      <c r="C34" s="148" t="s">
        <v>336</v>
      </c>
      <c r="D34" s="107" t="s">
        <v>204</v>
      </c>
      <c r="E34" s="203">
        <v>1.5</v>
      </c>
      <c r="F34" s="105" t="s">
        <v>45</v>
      </c>
      <c r="G34" s="211">
        <v>1</v>
      </c>
      <c r="H34" s="106" t="s">
        <v>46</v>
      </c>
      <c r="I34" s="211">
        <v>0</v>
      </c>
      <c r="J34" s="105" t="s">
        <v>792</v>
      </c>
      <c r="K34" s="211">
        <v>1.5</v>
      </c>
      <c r="L34" s="105" t="s">
        <v>308</v>
      </c>
      <c r="M34" s="217">
        <v>1.5</v>
      </c>
      <c r="N34" s="229">
        <v>1.364236111111111</v>
      </c>
      <c r="O34" s="129"/>
      <c r="P34" s="130"/>
      <c r="Q34" s="128"/>
      <c r="R34" s="36"/>
      <c r="S34" s="36"/>
      <c r="T34" s="36"/>
      <c r="U34" s="128"/>
      <c r="V34" s="128"/>
      <c r="W34" s="128"/>
      <c r="X34" s="128"/>
      <c r="Y34" s="128"/>
      <c r="Z34" s="128"/>
      <c r="AA34" s="128"/>
      <c r="AB34" s="128"/>
      <c r="AC34" s="128"/>
      <c r="AD34" s="128"/>
      <c r="AE34" s="128"/>
      <c r="AF34" s="128"/>
    </row>
    <row r="35" spans="2:32" ht="69.95" customHeight="1">
      <c r="B35" s="881" t="s">
        <v>793</v>
      </c>
      <c r="C35" s="183" t="s">
        <v>794</v>
      </c>
      <c r="D35" s="178" t="s">
        <v>314</v>
      </c>
      <c r="E35" s="209">
        <v>1</v>
      </c>
      <c r="F35" s="179" t="s">
        <v>47</v>
      </c>
      <c r="G35" s="212">
        <v>0.5</v>
      </c>
      <c r="H35" s="180" t="s">
        <v>795</v>
      </c>
      <c r="I35" s="212">
        <v>0</v>
      </c>
      <c r="J35" s="179" t="s">
        <v>112</v>
      </c>
      <c r="K35" s="221">
        <v>0.5</v>
      </c>
      <c r="L35" s="179" t="s">
        <v>315</v>
      </c>
      <c r="M35" s="221">
        <v>0.5</v>
      </c>
      <c r="N35" s="222">
        <v>0.66388888888888875</v>
      </c>
      <c r="O35" s="102"/>
      <c r="P35" s="115"/>
    </row>
    <row r="36" spans="2:32" ht="69.95" customHeight="1">
      <c r="B36" s="882"/>
      <c r="C36" s="158" t="s">
        <v>796</v>
      </c>
      <c r="D36" s="107" t="s">
        <v>207</v>
      </c>
      <c r="E36" s="203">
        <v>1</v>
      </c>
      <c r="F36" s="105" t="s">
        <v>316</v>
      </c>
      <c r="G36" s="211">
        <v>0.5</v>
      </c>
      <c r="H36" s="106" t="s">
        <v>48</v>
      </c>
      <c r="I36" s="211">
        <v>1</v>
      </c>
      <c r="J36" s="105" t="s">
        <v>113</v>
      </c>
      <c r="K36" s="217">
        <v>0.5</v>
      </c>
      <c r="L36" s="105" t="s">
        <v>324</v>
      </c>
      <c r="M36" s="217">
        <v>0.5</v>
      </c>
      <c r="N36" s="224">
        <v>0.83263888888888871</v>
      </c>
      <c r="O36" s="102"/>
      <c r="P36" s="115"/>
    </row>
    <row r="37" spans="2:32" ht="69.95" customHeight="1">
      <c r="B37" s="882"/>
      <c r="C37" s="156" t="s">
        <v>797</v>
      </c>
      <c r="D37" s="107" t="s">
        <v>211</v>
      </c>
      <c r="E37" s="203">
        <v>0.5</v>
      </c>
      <c r="F37" s="105" t="s">
        <v>317</v>
      </c>
      <c r="G37" s="211">
        <v>1</v>
      </c>
      <c r="H37" s="106" t="s">
        <v>318</v>
      </c>
      <c r="I37" s="211">
        <v>1</v>
      </c>
      <c r="J37" s="105" t="s">
        <v>37</v>
      </c>
      <c r="K37" s="217">
        <v>1</v>
      </c>
      <c r="L37" s="105" t="s">
        <v>208</v>
      </c>
      <c r="M37" s="217">
        <v>0.5</v>
      </c>
      <c r="N37" s="224">
        <v>0.89548611111111109</v>
      </c>
      <c r="O37" s="102"/>
      <c r="P37" s="115"/>
    </row>
    <row r="38" spans="2:32" ht="69.95" customHeight="1">
      <c r="B38" s="882"/>
      <c r="C38" s="158" t="s">
        <v>798</v>
      </c>
      <c r="D38" s="107" t="s">
        <v>799</v>
      </c>
      <c r="E38" s="203">
        <v>0.5</v>
      </c>
      <c r="F38" s="105" t="s">
        <v>800</v>
      </c>
      <c r="G38" s="211">
        <v>1</v>
      </c>
      <c r="H38" s="106" t="s">
        <v>801</v>
      </c>
      <c r="I38" s="211">
        <v>1</v>
      </c>
      <c r="J38" s="105" t="s">
        <v>802</v>
      </c>
      <c r="K38" s="217">
        <v>1</v>
      </c>
      <c r="L38" s="105" t="s">
        <v>209</v>
      </c>
      <c r="M38" s="217">
        <v>0.5</v>
      </c>
      <c r="N38" s="224">
        <v>0.89548611111111109</v>
      </c>
      <c r="O38" s="102"/>
      <c r="P38" s="115"/>
    </row>
    <row r="39" spans="2:32" ht="69.95" customHeight="1">
      <c r="B39" s="882"/>
      <c r="C39" s="158" t="s">
        <v>803</v>
      </c>
      <c r="D39" s="132" t="s">
        <v>179</v>
      </c>
      <c r="E39" s="203">
        <v>1</v>
      </c>
      <c r="F39" s="132" t="s">
        <v>114</v>
      </c>
      <c r="G39" s="203">
        <v>1</v>
      </c>
      <c r="H39" s="106" t="s">
        <v>180</v>
      </c>
      <c r="I39" s="211">
        <v>1</v>
      </c>
      <c r="J39" s="105" t="s">
        <v>181</v>
      </c>
      <c r="K39" s="217">
        <v>0.5</v>
      </c>
      <c r="L39" s="105" t="s">
        <v>210</v>
      </c>
      <c r="M39" s="217">
        <v>0.5</v>
      </c>
      <c r="N39" s="224">
        <v>0.98402777777777772</v>
      </c>
      <c r="O39" s="102"/>
      <c r="P39" s="115"/>
    </row>
    <row r="40" spans="2:32" ht="69.95" customHeight="1">
      <c r="B40" s="882"/>
      <c r="C40" s="158" t="s">
        <v>115</v>
      </c>
      <c r="D40" s="107" t="s">
        <v>319</v>
      </c>
      <c r="E40" s="203">
        <v>0.5</v>
      </c>
      <c r="F40" s="105" t="s">
        <v>116</v>
      </c>
      <c r="G40" s="211">
        <v>1</v>
      </c>
      <c r="H40" s="106" t="s">
        <v>50</v>
      </c>
      <c r="I40" s="211">
        <v>0</v>
      </c>
      <c r="J40" s="133" t="s">
        <v>49</v>
      </c>
      <c r="K40" s="217">
        <v>0</v>
      </c>
      <c r="L40" s="133" t="s">
        <v>320</v>
      </c>
      <c r="M40" s="217">
        <v>1</v>
      </c>
      <c r="N40" s="224">
        <v>0.71145833333333319</v>
      </c>
      <c r="O40" s="102"/>
      <c r="P40" s="115"/>
    </row>
    <row r="41" spans="2:32" ht="69.95" customHeight="1" thickBot="1">
      <c r="B41" s="883"/>
      <c r="C41" s="466" t="s">
        <v>480</v>
      </c>
      <c r="D41" s="425" t="s">
        <v>556</v>
      </c>
      <c r="E41" s="206">
        <v>1</v>
      </c>
      <c r="F41" s="468" t="s">
        <v>804</v>
      </c>
      <c r="G41" s="430">
        <v>0.5</v>
      </c>
      <c r="H41" s="426" t="s">
        <v>805</v>
      </c>
      <c r="I41" s="430">
        <v>0</v>
      </c>
      <c r="J41" s="474" t="s">
        <v>552</v>
      </c>
      <c r="K41" s="211">
        <v>0.5</v>
      </c>
      <c r="L41" s="422" t="s">
        <v>558</v>
      </c>
      <c r="M41" s="217">
        <v>0.5</v>
      </c>
      <c r="N41" s="224">
        <v>0.66388888888888875</v>
      </c>
      <c r="O41" s="102"/>
      <c r="P41" s="115"/>
    </row>
    <row r="42" spans="2:32" ht="69.95" customHeight="1" thickBot="1">
      <c r="B42" s="108" t="s">
        <v>806</v>
      </c>
      <c r="C42" s="467" t="s">
        <v>548</v>
      </c>
      <c r="D42" s="469" t="s">
        <v>550</v>
      </c>
      <c r="E42" s="205">
        <v>1</v>
      </c>
      <c r="F42" s="471" t="s">
        <v>551</v>
      </c>
      <c r="G42" s="473">
        <v>0</v>
      </c>
      <c r="H42" s="470" t="s">
        <v>807</v>
      </c>
      <c r="I42" s="473">
        <v>0</v>
      </c>
      <c r="J42" s="475" t="s">
        <v>557</v>
      </c>
      <c r="K42" s="473">
        <v>0.5</v>
      </c>
      <c r="L42" s="471" t="s">
        <v>555</v>
      </c>
      <c r="M42" s="472">
        <v>0.5</v>
      </c>
      <c r="N42" s="226">
        <v>0.51249999999999996</v>
      </c>
      <c r="O42" s="102"/>
      <c r="P42" s="115"/>
    </row>
    <row r="43" spans="2:32" s="131" customFormat="1" ht="20.100000000000001" customHeight="1">
      <c r="B43" s="134"/>
      <c r="C43" s="74"/>
      <c r="D43" s="135"/>
      <c r="E43" s="42"/>
      <c r="F43" s="135"/>
      <c r="G43" s="42"/>
      <c r="H43" s="136"/>
      <c r="I43" s="42"/>
      <c r="J43" s="135"/>
      <c r="K43" s="42"/>
      <c r="L43" s="135"/>
      <c r="M43" s="42"/>
      <c r="N43" s="23"/>
      <c r="O43" s="128"/>
      <c r="Q43" s="128"/>
      <c r="R43" s="36"/>
      <c r="S43" s="36"/>
      <c r="T43" s="36"/>
      <c r="U43" s="128"/>
      <c r="V43" s="128"/>
      <c r="W43" s="128"/>
      <c r="X43" s="128"/>
      <c r="Y43" s="128"/>
      <c r="Z43" s="128"/>
      <c r="AA43" s="128"/>
      <c r="AB43" s="128"/>
      <c r="AC43" s="128"/>
      <c r="AD43" s="128"/>
      <c r="AE43" s="128"/>
      <c r="AF43" s="128"/>
    </row>
    <row r="44" spans="2:32" ht="20.100000000000001" customHeight="1">
      <c r="B44" s="97" t="s">
        <v>143</v>
      </c>
    </row>
    <row r="45" spans="2:32" ht="20.100000000000001" customHeight="1">
      <c r="B45" s="93">
        <v>1</v>
      </c>
      <c r="C45" s="93" t="s">
        <v>131</v>
      </c>
      <c r="H45" s="74"/>
    </row>
    <row r="46" spans="2:32" ht="20.100000000000001" customHeight="1">
      <c r="B46" s="93">
        <v>2</v>
      </c>
      <c r="C46" s="93" t="s">
        <v>132</v>
      </c>
    </row>
    <row r="47" spans="2:32" ht="20.100000000000001" customHeight="1">
      <c r="B47" s="93">
        <v>3</v>
      </c>
      <c r="C47" s="137" t="s">
        <v>183</v>
      </c>
    </row>
    <row r="48" spans="2:32" ht="20.100000000000001" customHeight="1">
      <c r="B48" s="93">
        <v>4</v>
      </c>
      <c r="C48" s="93" t="s">
        <v>133</v>
      </c>
    </row>
    <row r="49" spans="2:23" ht="20.100000000000001" customHeight="1">
      <c r="B49" s="93">
        <v>5</v>
      </c>
      <c r="C49" s="93" t="s">
        <v>134</v>
      </c>
    </row>
    <row r="50" spans="2:23" ht="20.100000000000001" customHeight="1">
      <c r="B50" s="93">
        <v>6</v>
      </c>
      <c r="C50" s="93" t="s">
        <v>135</v>
      </c>
    </row>
    <row r="51" spans="2:23" ht="20.100000000000001" customHeight="1">
      <c r="B51" s="93">
        <v>7</v>
      </c>
      <c r="C51" s="93" t="s">
        <v>136</v>
      </c>
    </row>
    <row r="52" spans="2:23" ht="20.100000000000001" customHeight="1">
      <c r="B52" s="93">
        <v>8</v>
      </c>
      <c r="C52" s="137" t="s">
        <v>184</v>
      </c>
    </row>
    <row r="53" spans="2:23" ht="20.100000000000001" customHeight="1">
      <c r="B53" s="93">
        <v>9</v>
      </c>
      <c r="C53" s="93" t="s">
        <v>137</v>
      </c>
    </row>
    <row r="54" spans="2:23" ht="20.100000000000001" customHeight="1">
      <c r="B54" s="93">
        <v>10</v>
      </c>
      <c r="C54" s="93" t="s">
        <v>138</v>
      </c>
    </row>
    <row r="55" spans="2:23" ht="20.100000000000001" customHeight="1">
      <c r="B55" s="93">
        <v>11</v>
      </c>
      <c r="C55" s="93" t="s">
        <v>139</v>
      </c>
    </row>
    <row r="56" spans="2:23" ht="20.100000000000001" customHeight="1">
      <c r="B56" s="93">
        <v>12</v>
      </c>
      <c r="C56" s="93" t="s">
        <v>140</v>
      </c>
    </row>
    <row r="57" spans="2:23" ht="20.100000000000001" customHeight="1">
      <c r="B57" s="93">
        <v>13</v>
      </c>
      <c r="C57" s="137" t="s">
        <v>185</v>
      </c>
    </row>
    <row r="58" spans="2:23" ht="20.100000000000001" customHeight="1">
      <c r="B58" s="93">
        <v>14</v>
      </c>
      <c r="C58" s="93" t="s">
        <v>141</v>
      </c>
    </row>
    <row r="59" spans="2:23" ht="20.100000000000001" customHeight="1">
      <c r="B59" s="93">
        <v>15</v>
      </c>
      <c r="C59" s="93" t="s">
        <v>142</v>
      </c>
    </row>
    <row r="60" spans="2:23" ht="20.100000000000001" customHeight="1">
      <c r="B60" s="93">
        <v>16</v>
      </c>
      <c r="C60" s="93" t="s">
        <v>159</v>
      </c>
      <c r="I60" s="135"/>
      <c r="K60" s="135"/>
      <c r="M60" s="135"/>
      <c r="N60" s="135"/>
    </row>
    <row r="61" spans="2:23" ht="20.100000000000001" customHeight="1">
      <c r="B61" s="93">
        <v>17</v>
      </c>
      <c r="C61" s="138" t="s">
        <v>160</v>
      </c>
      <c r="I61" s="135"/>
      <c r="K61" s="135"/>
      <c r="M61" s="135"/>
      <c r="N61" s="135"/>
    </row>
    <row r="62" spans="2:23" ht="20.100000000000001" customHeight="1">
      <c r="B62" s="93">
        <v>18</v>
      </c>
      <c r="C62" s="93" t="s">
        <v>161</v>
      </c>
      <c r="I62" s="135"/>
      <c r="K62" s="135"/>
      <c r="M62" s="135"/>
      <c r="N62" s="135"/>
    </row>
    <row r="63" spans="2:23">
      <c r="I63" s="135"/>
      <c r="K63" s="135"/>
      <c r="M63" s="135"/>
      <c r="N63" s="135"/>
      <c r="O63" s="135"/>
      <c r="P63" s="135"/>
      <c r="Q63" s="135"/>
      <c r="R63" s="135"/>
      <c r="S63" s="135"/>
      <c r="T63" s="135"/>
      <c r="U63" s="135"/>
      <c r="V63" s="135"/>
      <c r="W63" s="135"/>
    </row>
    <row r="64" spans="2:23">
      <c r="I64" s="135"/>
      <c r="K64" s="135"/>
      <c r="M64" s="135"/>
      <c r="N64" s="135"/>
      <c r="O64" s="135"/>
      <c r="P64" s="135"/>
      <c r="Q64" s="135"/>
      <c r="R64" s="135"/>
      <c r="S64" s="135"/>
      <c r="T64" s="135"/>
      <c r="U64" s="135"/>
      <c r="V64" s="135"/>
      <c r="W64" s="135"/>
    </row>
    <row r="65" spans="9:23">
      <c r="I65" s="135"/>
      <c r="K65" s="135"/>
      <c r="M65" s="135"/>
      <c r="N65" s="135"/>
      <c r="O65" s="135"/>
      <c r="P65" s="135"/>
      <c r="Q65" s="135"/>
      <c r="R65" s="135"/>
      <c r="S65" s="135"/>
      <c r="T65" s="135"/>
      <c r="U65" s="135"/>
      <c r="V65" s="135"/>
      <c r="W65" s="135"/>
    </row>
    <row r="66" spans="9:23">
      <c r="I66" s="135"/>
      <c r="K66" s="135"/>
      <c r="M66" s="135"/>
      <c r="N66" s="135"/>
      <c r="O66" s="135"/>
      <c r="P66" s="135"/>
      <c r="Q66" s="135"/>
      <c r="R66" s="135"/>
      <c r="S66" s="135"/>
      <c r="T66" s="135"/>
      <c r="U66" s="135"/>
      <c r="V66" s="135"/>
      <c r="W66" s="135"/>
    </row>
    <row r="67" spans="9:23">
      <c r="I67" s="135"/>
      <c r="K67" s="135"/>
      <c r="M67" s="135"/>
      <c r="N67" s="135"/>
      <c r="O67" s="135"/>
      <c r="P67" s="135"/>
      <c r="Q67" s="135"/>
      <c r="R67" s="135"/>
      <c r="S67" s="135"/>
      <c r="T67" s="135"/>
      <c r="U67" s="135"/>
      <c r="V67" s="135"/>
      <c r="W67" s="135"/>
    </row>
    <row r="68" spans="9:23">
      <c r="I68" s="135"/>
      <c r="K68" s="135"/>
      <c r="M68" s="135"/>
      <c r="N68" s="135"/>
      <c r="O68" s="135"/>
      <c r="P68" s="135"/>
      <c r="Q68" s="135"/>
      <c r="R68" s="135"/>
      <c r="S68" s="135"/>
      <c r="T68" s="135"/>
      <c r="U68" s="135"/>
      <c r="V68" s="135"/>
      <c r="W68" s="135"/>
    </row>
    <row r="69" spans="9:23">
      <c r="I69" s="135"/>
      <c r="K69" s="135"/>
      <c r="M69" s="135"/>
      <c r="N69" s="135"/>
      <c r="O69" s="135"/>
      <c r="P69" s="135"/>
      <c r="Q69" s="135"/>
      <c r="R69" s="135"/>
      <c r="S69" s="135"/>
      <c r="T69" s="135"/>
      <c r="U69" s="135"/>
      <c r="V69" s="135"/>
      <c r="W69" s="135"/>
    </row>
    <row r="70" spans="9:23">
      <c r="I70" s="135"/>
      <c r="K70" s="135"/>
      <c r="M70" s="135"/>
      <c r="N70" s="135"/>
      <c r="O70" s="135"/>
      <c r="P70" s="135"/>
      <c r="Q70" s="135"/>
      <c r="R70" s="135"/>
      <c r="S70" s="135"/>
      <c r="T70" s="135"/>
      <c r="U70" s="135"/>
      <c r="V70" s="135"/>
      <c r="W70" s="135"/>
    </row>
    <row r="71" spans="9:23">
      <c r="I71" s="135"/>
      <c r="K71" s="135"/>
      <c r="M71" s="135"/>
      <c r="N71" s="135"/>
      <c r="O71" s="135"/>
      <c r="P71" s="135"/>
      <c r="Q71" s="135"/>
      <c r="R71" s="135"/>
      <c r="S71" s="135"/>
      <c r="T71" s="135"/>
      <c r="U71" s="135"/>
      <c r="V71" s="135"/>
      <c r="W71" s="135"/>
    </row>
    <row r="72" spans="9:23">
      <c r="I72" s="135"/>
      <c r="K72" s="135"/>
      <c r="M72" s="135"/>
      <c r="N72" s="135"/>
      <c r="O72" s="135"/>
      <c r="P72" s="135"/>
      <c r="Q72" s="135"/>
      <c r="R72" s="135"/>
      <c r="S72" s="135"/>
      <c r="T72" s="135"/>
      <c r="U72" s="135"/>
      <c r="V72" s="135"/>
      <c r="W72" s="135"/>
    </row>
    <row r="73" spans="9:23">
      <c r="I73" s="135"/>
      <c r="K73" s="135"/>
      <c r="M73" s="135"/>
      <c r="N73" s="135"/>
      <c r="O73" s="135"/>
      <c r="P73" s="135"/>
      <c r="Q73" s="135"/>
      <c r="R73" s="135"/>
      <c r="S73" s="135"/>
      <c r="T73" s="135"/>
      <c r="U73" s="135"/>
      <c r="V73" s="135"/>
      <c r="W73" s="135"/>
    </row>
    <row r="74" spans="9:23">
      <c r="I74" s="135"/>
      <c r="K74" s="135"/>
      <c r="M74" s="135"/>
      <c r="N74" s="135"/>
      <c r="O74" s="135"/>
      <c r="P74" s="135"/>
      <c r="Q74" s="135"/>
      <c r="R74" s="135"/>
      <c r="S74" s="135"/>
      <c r="T74" s="135"/>
      <c r="U74" s="135"/>
      <c r="V74" s="135"/>
      <c r="W74" s="135"/>
    </row>
    <row r="75" spans="9:23">
      <c r="I75" s="135"/>
      <c r="K75" s="135"/>
      <c r="M75" s="135"/>
      <c r="N75" s="135"/>
      <c r="O75" s="135"/>
      <c r="P75" s="135"/>
      <c r="Q75" s="135"/>
      <c r="R75" s="135"/>
      <c r="S75" s="135"/>
      <c r="T75" s="135"/>
      <c r="U75" s="135"/>
      <c r="V75" s="135"/>
      <c r="W75" s="135"/>
    </row>
    <row r="76" spans="9:23">
      <c r="I76" s="135"/>
      <c r="K76" s="135"/>
      <c r="M76" s="135"/>
      <c r="N76" s="135"/>
      <c r="O76" s="135"/>
      <c r="P76" s="135"/>
      <c r="Q76" s="135"/>
      <c r="R76" s="135"/>
      <c r="S76" s="135"/>
      <c r="T76" s="135"/>
      <c r="U76" s="135"/>
      <c r="V76" s="135"/>
      <c r="W76" s="135"/>
    </row>
    <row r="77" spans="9:23">
      <c r="I77" s="135"/>
      <c r="K77" s="135"/>
      <c r="M77" s="135"/>
      <c r="N77" s="135"/>
      <c r="O77" s="135"/>
      <c r="P77" s="135"/>
      <c r="Q77" s="135"/>
      <c r="R77" s="135"/>
      <c r="S77" s="135"/>
      <c r="T77" s="135"/>
      <c r="U77" s="135"/>
      <c r="V77" s="135"/>
      <c r="W77" s="135"/>
    </row>
    <row r="78" spans="9:23">
      <c r="I78" s="135"/>
      <c r="K78" s="135"/>
      <c r="M78" s="135"/>
      <c r="N78" s="135"/>
      <c r="O78" s="135"/>
      <c r="P78" s="135"/>
      <c r="Q78" s="135"/>
      <c r="R78" s="135"/>
      <c r="S78" s="135"/>
      <c r="T78" s="135"/>
      <c r="U78" s="135"/>
      <c r="V78" s="135"/>
      <c r="W78" s="135"/>
    </row>
    <row r="79" spans="9:23">
      <c r="I79" s="135"/>
      <c r="K79" s="135"/>
      <c r="M79" s="135"/>
      <c r="N79" s="135"/>
      <c r="O79" s="135"/>
      <c r="P79" s="135"/>
      <c r="Q79" s="135"/>
      <c r="R79" s="135"/>
      <c r="S79" s="135"/>
      <c r="T79" s="135"/>
      <c r="U79" s="135"/>
      <c r="V79" s="135"/>
      <c r="W79" s="135"/>
    </row>
    <row r="80" spans="9:23">
      <c r="I80" s="135"/>
      <c r="K80" s="135"/>
      <c r="M80" s="135"/>
      <c r="N80" s="135"/>
      <c r="O80" s="135"/>
      <c r="P80" s="135"/>
      <c r="Q80" s="135"/>
      <c r="R80" s="135"/>
      <c r="S80" s="135"/>
      <c r="T80" s="135"/>
      <c r="U80" s="135"/>
      <c r="V80" s="135"/>
      <c r="W80" s="135"/>
    </row>
    <row r="81" spans="9:23">
      <c r="I81" s="135"/>
      <c r="K81" s="135"/>
      <c r="M81" s="135"/>
      <c r="N81" s="135"/>
      <c r="O81" s="135"/>
      <c r="P81" s="135"/>
      <c r="Q81" s="135"/>
      <c r="R81" s="135"/>
      <c r="S81" s="135"/>
      <c r="T81" s="135"/>
      <c r="U81" s="135"/>
      <c r="V81" s="135"/>
      <c r="W81" s="135"/>
    </row>
    <row r="82" spans="9:23">
      <c r="I82" s="135"/>
      <c r="K82" s="135"/>
      <c r="M82" s="135"/>
      <c r="N82" s="135"/>
      <c r="O82" s="135"/>
      <c r="P82" s="135"/>
      <c r="Q82" s="135"/>
      <c r="R82" s="135"/>
      <c r="S82" s="135"/>
      <c r="T82" s="135"/>
      <c r="U82" s="135"/>
      <c r="V82" s="135"/>
      <c r="W82" s="135"/>
    </row>
    <row r="83" spans="9:23">
      <c r="I83" s="135"/>
      <c r="K83" s="135"/>
      <c r="M83" s="135"/>
      <c r="N83" s="135"/>
      <c r="O83" s="135"/>
      <c r="P83" s="135"/>
      <c r="Q83" s="135"/>
      <c r="R83" s="135"/>
      <c r="S83" s="135"/>
      <c r="T83" s="135"/>
      <c r="U83" s="135"/>
      <c r="V83" s="135"/>
      <c r="W83" s="135"/>
    </row>
    <row r="84" spans="9:23">
      <c r="I84" s="135"/>
      <c r="K84" s="135"/>
      <c r="M84" s="135"/>
      <c r="N84" s="135"/>
      <c r="O84" s="135"/>
      <c r="P84" s="135"/>
      <c r="Q84" s="135"/>
      <c r="R84" s="135"/>
      <c r="S84" s="135"/>
      <c r="T84" s="135"/>
      <c r="U84" s="135"/>
      <c r="V84" s="135"/>
      <c r="W84" s="135"/>
    </row>
    <row r="85" spans="9:23">
      <c r="I85" s="135"/>
      <c r="K85" s="135"/>
      <c r="M85" s="135"/>
      <c r="N85" s="135"/>
      <c r="O85" s="135"/>
      <c r="P85" s="135"/>
      <c r="Q85" s="135"/>
      <c r="R85" s="135"/>
      <c r="S85" s="135"/>
      <c r="T85" s="135"/>
      <c r="U85" s="135"/>
      <c r="V85" s="135"/>
      <c r="W85" s="135"/>
    </row>
    <row r="86" spans="9:23">
      <c r="I86" s="135"/>
      <c r="K86" s="135"/>
      <c r="M86" s="135"/>
      <c r="N86" s="135"/>
      <c r="O86" s="135"/>
      <c r="P86" s="135"/>
      <c r="Q86" s="135"/>
      <c r="R86" s="135"/>
      <c r="S86" s="135"/>
      <c r="T86" s="135"/>
      <c r="U86" s="135"/>
      <c r="V86" s="135"/>
      <c r="W86" s="135"/>
    </row>
    <row r="87" spans="9:23">
      <c r="O87" s="135"/>
      <c r="P87" s="135"/>
      <c r="Q87" s="135"/>
      <c r="R87" s="135"/>
      <c r="S87" s="135"/>
      <c r="T87" s="135"/>
      <c r="U87" s="135"/>
      <c r="V87" s="135"/>
      <c r="W87" s="135"/>
    </row>
    <row r="88" spans="9:23">
      <c r="O88" s="135"/>
      <c r="P88" s="135"/>
      <c r="Q88" s="135"/>
      <c r="R88" s="135"/>
      <c r="S88" s="135"/>
      <c r="T88" s="135"/>
      <c r="U88" s="135"/>
      <c r="V88" s="135"/>
      <c r="W88" s="135"/>
    </row>
    <row r="89" spans="9:23">
      <c r="O89" s="135"/>
      <c r="P89" s="135"/>
      <c r="Q89" s="135"/>
      <c r="R89" s="135"/>
      <c r="S89" s="135"/>
      <c r="T89" s="135"/>
      <c r="U89" s="135"/>
      <c r="V89" s="135"/>
      <c r="W89" s="135"/>
    </row>
  </sheetData>
  <sheetProtection algorithmName="SHA-512" hashValue="mwtdX/pNj5V7oCUPtbd5TX8OEa2omecsmiyJUODkhnEkJlyMGQNtiKiASSAbvBUufHw5XrCXrmnDD5U0NnWkrQ==" saltValue="7izZpMNIqfJu8AHOrt8e6g==" spinCount="100000" sheet="1" objects="1" scenarios="1"/>
  <customSheetViews>
    <customSheetView guid="{C0826E8D-7112-6B45-A18A-1E6622F31D95}" scale="110" hiddenRows="1" topLeftCell="A2">
      <selection activeCell="B15" sqref="B15"/>
      <pageMargins left="0.7" right="0.7" top="0.75" bottom="0.75" header="0.3" footer="0.3"/>
      <pageSetup paperSize="9" orientation="portrait" horizontalDpi="300" verticalDpi="300" r:id="rId1"/>
    </customSheetView>
  </customSheetViews>
  <mergeCells count="11">
    <mergeCell ref="B35:B41"/>
    <mergeCell ref="B22:B24"/>
    <mergeCell ref="B10:B20"/>
    <mergeCell ref="B2:B8"/>
    <mergeCell ref="B28:B33"/>
    <mergeCell ref="R1:T1"/>
    <mergeCell ref="J1:K1"/>
    <mergeCell ref="D1:E1"/>
    <mergeCell ref="F1:G1"/>
    <mergeCell ref="H1:I1"/>
    <mergeCell ref="L1:M1"/>
  </mergeCells>
  <hyperlinks>
    <hyperlink ref="B9" location="'Grönkoefficient'!A1" display="Takaisin" xr:uid="{C3851F2F-E4F4-A14A-AC30-74C7CFC8497B}"/>
    <hyperlink ref="B25" location="'Grönkoefficient'!A1" display="Takaisin" xr:uid="{5CC56C9E-CE6D-D54F-9F87-D36708D6C6BF}"/>
    <hyperlink ref="B27" location="'Grönkoefficient'!A1" display="Takaisin" xr:uid="{E4BBBC39-0606-5B42-BE71-BE1F28A4E054}"/>
    <hyperlink ref="B34" location="'Grönkoefficient'!A1" display="Takaisin" xr:uid="{7AB1C7D4-162B-A84D-A30B-6578F526B665}"/>
    <hyperlink ref="B42" location="'Grönkoefficient'!A1" display="Takaisin" xr:uid="{61FAABE1-D7A1-9348-9136-3E2B0A68697E}"/>
    <hyperlink ref="B21" location="'Grönkoefficient'!A1" display="Takaisin" xr:uid="{760DC1E4-8C05-4C1F-9A0F-2C9FB8570868}"/>
  </hyperlinks>
  <pageMargins left="0.7" right="0.7" top="0.75" bottom="0.75" header="0.3" footer="0.3"/>
  <pageSetup paperSize="9" orientation="portrait" horizontalDpi="300" verticalDpi="300"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5">
    <tabColor rgb="FFFFE69D"/>
  </sheetPr>
  <dimension ref="A1:L31"/>
  <sheetViews>
    <sheetView zoomScaleNormal="135" workbookViewId="0"/>
  </sheetViews>
  <sheetFormatPr defaultColWidth="9.140625" defaultRowHeight="14.25"/>
  <cols>
    <col min="1" max="1" width="20.85546875" style="18" customWidth="1"/>
    <col min="2" max="2" width="74.42578125" style="18" customWidth="1"/>
    <col min="3" max="3" width="5.85546875" style="18" customWidth="1"/>
    <col min="4" max="4" width="35.85546875" style="18" customWidth="1"/>
    <col min="5" max="5" width="5.85546875" style="18" customWidth="1"/>
    <col min="6" max="6" width="35.85546875" style="18" customWidth="1"/>
    <col min="7" max="7" width="5.85546875" style="18" customWidth="1"/>
    <col min="8" max="8" width="35.85546875" style="18" customWidth="1"/>
    <col min="9" max="10" width="9.140625" style="18"/>
    <col min="11" max="11" width="3.85546875" style="18" customWidth="1"/>
    <col min="12" max="12" width="41" style="135" customWidth="1"/>
    <col min="13" max="16384" width="9.140625" style="18"/>
  </cols>
  <sheetData>
    <row r="1" spans="1:12" s="723" customFormat="1" ht="39.950000000000003" customHeight="1">
      <c r="B1" s="242" t="s">
        <v>599</v>
      </c>
      <c r="C1" s="242"/>
      <c r="L1" s="734"/>
    </row>
    <row r="2" spans="1:12" ht="260.10000000000002" customHeight="1" thickBot="1">
      <c r="A2" s="165"/>
      <c r="B2" s="709" t="s">
        <v>600</v>
      </c>
      <c r="C2" s="709"/>
      <c r="D2" s="58"/>
      <c r="E2" s="58"/>
      <c r="F2" s="58"/>
      <c r="L2" s="166"/>
    </row>
    <row r="3" spans="1:12" s="723" customFormat="1" ht="20.100000000000001" customHeight="1" thickBot="1">
      <c r="A3" s="721" t="s">
        <v>254</v>
      </c>
      <c r="B3" s="732"/>
      <c r="C3" s="726"/>
      <c r="D3" s="726"/>
      <c r="E3" s="726"/>
      <c r="F3" s="726"/>
      <c r="L3" s="733"/>
    </row>
    <row r="4" spans="1:12" ht="360" customHeight="1" thickBot="1">
      <c r="A4" s="167"/>
      <c r="B4" s="709" t="s">
        <v>601</v>
      </c>
      <c r="C4" s="168"/>
      <c r="L4" s="169"/>
    </row>
    <row r="5" spans="1:12" s="723" customFormat="1" ht="20.100000000000001" customHeight="1" thickBot="1">
      <c r="A5" s="721" t="s">
        <v>808</v>
      </c>
      <c r="L5" s="731"/>
    </row>
    <row r="6" spans="1:12" ht="240" customHeight="1" thickBot="1">
      <c r="A6" s="58"/>
      <c r="B6" s="709" t="s">
        <v>580</v>
      </c>
      <c r="C6" s="709"/>
      <c r="D6" s="58"/>
      <c r="E6" s="58"/>
      <c r="F6" s="58"/>
    </row>
    <row r="7" spans="1:12" s="723" customFormat="1" ht="20.100000000000001" customHeight="1" thickBot="1">
      <c r="A7" s="721" t="s">
        <v>809</v>
      </c>
      <c r="B7" s="725"/>
      <c r="C7" s="725"/>
      <c r="D7" s="726"/>
      <c r="E7" s="726"/>
      <c r="F7" s="726"/>
      <c r="L7" s="724"/>
    </row>
    <row r="8" spans="1:12" ht="240" customHeight="1" thickBot="1">
      <c r="A8" s="58"/>
      <c r="B8" s="168" t="s">
        <v>581</v>
      </c>
      <c r="C8" s="168"/>
    </row>
    <row r="9" spans="1:12" s="723" customFormat="1" ht="20.100000000000001" customHeight="1" thickBot="1">
      <c r="A9" s="721" t="s">
        <v>810</v>
      </c>
      <c r="B9" s="727"/>
      <c r="C9" s="727"/>
      <c r="F9" s="726"/>
      <c r="L9" s="724"/>
    </row>
    <row r="10" spans="1:12" ht="270" customHeight="1" thickBot="1">
      <c r="A10" s="58"/>
      <c r="B10" s="709" t="s">
        <v>582</v>
      </c>
      <c r="C10" s="709"/>
      <c r="D10" s="58"/>
      <c r="E10" s="58"/>
    </row>
    <row r="11" spans="1:12" s="723" customFormat="1" ht="20.100000000000001" customHeight="1" thickBot="1">
      <c r="A11" s="721" t="s">
        <v>811</v>
      </c>
      <c r="B11" s="727"/>
      <c r="C11" s="727"/>
      <c r="L11" s="724"/>
    </row>
    <row r="12" spans="1:12" ht="270" customHeight="1" thickBot="1">
      <c r="A12" s="58"/>
      <c r="B12" s="709" t="s">
        <v>593</v>
      </c>
      <c r="C12" s="709"/>
      <c r="D12" s="58"/>
      <c r="E12" s="58"/>
      <c r="F12" s="58"/>
      <c r="G12" s="58"/>
      <c r="H12" s="58"/>
      <c r="L12" s="170"/>
    </row>
    <row r="13" spans="1:12" s="723" customFormat="1" ht="20.100000000000001" customHeight="1" thickBot="1">
      <c r="A13" s="721" t="s">
        <v>812</v>
      </c>
      <c r="B13" s="729"/>
      <c r="C13" s="725"/>
      <c r="D13" s="726"/>
      <c r="E13" s="726"/>
      <c r="F13" s="726"/>
      <c r="G13" s="726"/>
      <c r="H13" s="726"/>
      <c r="L13" s="730"/>
    </row>
    <row r="14" spans="1:12" ht="240" customHeight="1" thickBot="1">
      <c r="B14" s="710" t="s">
        <v>619</v>
      </c>
      <c r="C14" s="710"/>
    </row>
    <row r="15" spans="1:12" s="723" customFormat="1" ht="20.100000000000001" customHeight="1" thickBot="1">
      <c r="A15" s="721" t="s">
        <v>813</v>
      </c>
      <c r="B15" s="728"/>
      <c r="C15" s="728"/>
      <c r="F15" s="726"/>
      <c r="G15" s="726"/>
      <c r="H15" s="726"/>
      <c r="L15" s="724"/>
    </row>
    <row r="16" spans="1:12" ht="240" customHeight="1" thickBot="1">
      <c r="A16" s="58"/>
      <c r="B16" s="709" t="s">
        <v>583</v>
      </c>
      <c r="C16" s="709"/>
      <c r="D16" s="58"/>
      <c r="E16" s="58"/>
    </row>
    <row r="17" spans="1:12" s="723" customFormat="1" ht="20.100000000000001" customHeight="1" thickBot="1">
      <c r="A17" s="721" t="s">
        <v>814</v>
      </c>
      <c r="B17" s="727"/>
      <c r="C17" s="727"/>
      <c r="F17" s="726"/>
      <c r="L17" s="724"/>
    </row>
    <row r="18" spans="1:12" ht="240" customHeight="1" thickBot="1">
      <c r="A18" s="58"/>
      <c r="B18" s="711" t="s">
        <v>584</v>
      </c>
      <c r="C18" s="711"/>
      <c r="D18" s="58"/>
      <c r="E18" s="58"/>
    </row>
    <row r="19" spans="1:12" s="723" customFormat="1" ht="20.100000000000001" customHeight="1" thickBot="1">
      <c r="A19" s="721" t="s">
        <v>815</v>
      </c>
      <c r="B19" s="728"/>
      <c r="C19" s="728"/>
      <c r="L19" s="724"/>
    </row>
    <row r="20" spans="1:12" ht="240" customHeight="1" thickBot="1">
      <c r="A20" s="58"/>
      <c r="B20" s="709" t="s">
        <v>585</v>
      </c>
      <c r="C20" s="709"/>
      <c r="D20" s="58"/>
      <c r="E20" s="58"/>
      <c r="F20" s="58"/>
    </row>
    <row r="21" spans="1:12" s="723" customFormat="1" ht="20.100000000000001" customHeight="1" thickBot="1">
      <c r="A21" s="721" t="s">
        <v>816</v>
      </c>
      <c r="B21" s="727"/>
      <c r="C21" s="727"/>
      <c r="L21" s="724"/>
    </row>
    <row r="22" spans="1:12" ht="240" customHeight="1" thickBot="1">
      <c r="A22" s="58"/>
      <c r="B22" s="709" t="s">
        <v>586</v>
      </c>
      <c r="C22" s="709"/>
      <c r="D22" s="58"/>
      <c r="E22" s="58"/>
      <c r="F22" s="58"/>
    </row>
    <row r="23" spans="1:12" s="723" customFormat="1" ht="20.100000000000001" customHeight="1" thickBot="1">
      <c r="A23" s="721" t="s">
        <v>817</v>
      </c>
      <c r="B23" s="727"/>
      <c r="C23" s="727"/>
      <c r="L23" s="724"/>
    </row>
    <row r="24" spans="1:12" ht="240" customHeight="1" thickBot="1">
      <c r="A24" s="58"/>
      <c r="B24" s="709" t="s">
        <v>587</v>
      </c>
      <c r="C24" s="709"/>
      <c r="D24" s="58"/>
      <c r="E24" s="58"/>
      <c r="F24" s="58"/>
    </row>
    <row r="25" spans="1:12" s="723" customFormat="1" ht="20.100000000000001" customHeight="1" thickBot="1">
      <c r="A25" s="721" t="s">
        <v>818</v>
      </c>
      <c r="B25" s="725"/>
      <c r="C25" s="725"/>
      <c r="D25" s="726"/>
      <c r="E25" s="726"/>
      <c r="F25" s="726"/>
      <c r="L25" s="724"/>
    </row>
    <row r="26" spans="1:12" ht="240" customHeight="1" thickBot="1">
      <c r="A26" s="171"/>
      <c r="B26" s="709" t="s">
        <v>588</v>
      </c>
      <c r="C26" s="168"/>
      <c r="H26" s="20"/>
    </row>
    <row r="27" spans="1:12" s="723" customFormat="1" ht="20.100000000000001" customHeight="1" thickBot="1">
      <c r="A27" s="721" t="s">
        <v>819</v>
      </c>
      <c r="B27" s="725"/>
      <c r="C27" s="725"/>
      <c r="D27" s="726"/>
      <c r="E27" s="726"/>
      <c r="F27" s="726"/>
      <c r="H27" s="27"/>
      <c r="L27" s="724"/>
    </row>
    <row r="28" spans="1:12" ht="240" customHeight="1" thickBot="1">
      <c r="A28" s="72"/>
      <c r="B28" s="709" t="s">
        <v>589</v>
      </c>
      <c r="C28" s="709"/>
      <c r="D28" s="58"/>
      <c r="F28" s="27"/>
      <c r="G28" s="27"/>
    </row>
    <row r="29" spans="1:12" s="723" customFormat="1" ht="20.100000000000001" customHeight="1" thickBot="1">
      <c r="A29" s="721" t="s">
        <v>820</v>
      </c>
      <c r="B29" s="722"/>
      <c r="C29" s="722"/>
      <c r="F29" s="172"/>
      <c r="G29" s="27"/>
      <c r="L29" s="724"/>
    </row>
    <row r="30" spans="1:12">
      <c r="B30" s="58"/>
      <c r="C30" s="58"/>
      <c r="D30" s="58"/>
      <c r="E30" s="58"/>
    </row>
    <row r="31" spans="1:12">
      <c r="A31" s="18" t="s">
        <v>269</v>
      </c>
    </row>
  </sheetData>
  <sheetProtection algorithmName="SHA-512" hashValue="2WZNDTiYmpc5NMNwS7Bo2k9Jzg2EAyWSLW06ujl2y5ReMmLG+A5NATF3I0XzO+ze42hFmNG+dib+WNMstaHXaA==" saltValue="ojvzH2gWcpNDmZzrivW8BA==" spinCount="100000" sheet="1" objects="1" scenarios="1"/>
  <customSheetViews>
    <customSheetView guid="{C0826E8D-7112-6B45-A18A-1E6622F31D95}">
      <selection activeCell="C42" sqref="C42"/>
      <pageMargins left="0.7" right="0.7" top="0.75" bottom="0.75" header="0.3" footer="0.3"/>
      <pageSetup paperSize="9" orientation="portrait" horizontalDpi="300" verticalDpi="300" r:id="rId1"/>
    </customSheetView>
  </customSheetViews>
  <hyperlinks>
    <hyperlink ref="A3" location="'Grönkoefficient'!A1" display="Takaisin: Viherkerroin" xr:uid="{C627E423-2BA4-0840-9BC5-B10892101A37}"/>
    <hyperlink ref="A5" location="'Grönkoefficient'!A1" display="Takaisin: Viherkerroin" xr:uid="{59EFC77B-3B2C-3843-970F-5A091FDEE411}"/>
    <hyperlink ref="A7" location="'Grönkoefficient'!A1" display="Takaisin: Viherkerroin" xr:uid="{109984D7-6389-4349-837D-EC4454416FB9}"/>
    <hyperlink ref="A9" location="'Grönkoefficient'!A1" display="Takaisin: Viherkerroin" xr:uid="{70650A59-A22A-5C4A-AF64-4CA1337C403C}"/>
    <hyperlink ref="A11" location="'Grönkoefficient'!A1" display="Takaisin: Viherkerroin" xr:uid="{82CBBF8D-77AC-2740-A6C8-E0D577DDEF5D}"/>
    <hyperlink ref="A13" location="'Grönkoefficient'!A1" display="Takaisin: Viherkerroin" xr:uid="{1B2A841D-203D-C84B-8D7C-1F4E1C165AFA}"/>
    <hyperlink ref="A15" location="'Grönkoefficient'!A1" display="Takaisin: Viherkerroin" xr:uid="{DFE0B85F-15E8-E44C-8F6F-B8D4BC619365}"/>
    <hyperlink ref="A17" location="'Grönkoefficient'!A1" display="Takaisin: Viherkerroin" xr:uid="{4967ED3A-4A26-4E48-B53B-06322AF2A816}"/>
    <hyperlink ref="A19" location="'Grönkoefficient'!A1" display="Takaisin: Viherkerroin" xr:uid="{E967267B-C647-BD48-8899-B25040CE6683}"/>
    <hyperlink ref="A21" location="'Grönkoefficient'!A1" display="Takaisin: Viherkerroin" xr:uid="{AFD22846-7ED8-9E4E-B4B4-CE095DD2A1DA}"/>
    <hyperlink ref="A23" location="'Grönkoefficient'!A1" display="Takaisin: Viherkerroin" xr:uid="{820B609F-8E78-EC4D-AD39-3895D07489CD}"/>
    <hyperlink ref="A25" location="'Grönkoefficient'!A1" display="Takaisin: Viherkerroin" xr:uid="{89D93C38-76FB-8F4E-A8A5-0211809F826D}"/>
    <hyperlink ref="A27" location="'Grönkoefficient'!A1" display="Takaisin: Viherkerroin" xr:uid="{7A50508D-E40E-3C45-A67E-940F3861875E}"/>
    <hyperlink ref="A29" location="'Grönkoefficient'!A1" display="Takaisin: Viherkerroin" xr:uid="{24DE2836-C149-454B-B6ED-1A82BF5F4443}"/>
  </hyperlinks>
  <pageMargins left="0.7" right="0.7" top="0.75" bottom="0.75" header="0.3" footer="0.3"/>
  <pageSetup paperSize="9" orientation="portrait" horizontalDpi="300" verticalDpi="300" r:id="rId2"/>
  <drawing r:id="rId3"/>
  <legacyDrawing r:id="rId4"/>
  <mc:AlternateContent xmlns:mc="http://schemas.openxmlformats.org/markup-compatibility/2006">
    <mc:Choice Requires="x14">
      <controls>
        <mc:AlternateContent xmlns:mc="http://schemas.openxmlformats.org/markup-compatibility/2006">
          <mc:Choice Requires="x14">
            <control shapeId="16477" r:id="rId5" name="Button 93">
              <controlPr defaultSize="0" print="0" autoFill="0" autoPict="0" macro="[0]!Sheet4_Edellinen">
                <anchor moveWithCells="1" sizeWithCells="1">
                  <from>
                    <xdr:col>0</xdr:col>
                    <xdr:colOff>0</xdr:colOff>
                    <xdr:row>20</xdr:row>
                    <xdr:rowOff>0</xdr:rowOff>
                  </from>
                  <to>
                    <xdr:col>1</xdr:col>
                    <xdr:colOff>0</xdr:colOff>
                    <xdr:row>20</xdr:row>
                    <xdr:rowOff>0</xdr:rowOff>
                  </to>
                </anchor>
              </controlPr>
            </control>
          </mc:Choice>
        </mc:AlternateContent>
        <mc:AlternateContent xmlns:mc="http://schemas.openxmlformats.org/markup-compatibility/2006">
          <mc:Choice Requires="x14">
            <control shapeId="16387" r:id="rId6" name="Button 3">
              <controlPr defaultSize="0" print="0" autoFill="0" autoPict="0">
                <anchor moveWithCells="1" sizeWithCells="1">
                  <from>
                    <xdr:col>0</xdr:col>
                    <xdr:colOff>9525</xdr:colOff>
                    <xdr:row>6</xdr:row>
                    <xdr:rowOff>0</xdr:rowOff>
                  </from>
                  <to>
                    <xdr:col>1</xdr:col>
                    <xdr:colOff>9525</xdr:colOff>
                    <xdr:row>6</xdr:row>
                    <xdr:rowOff>0</xdr:rowOff>
                  </to>
                </anchor>
              </controlPr>
            </control>
          </mc:Choice>
        </mc:AlternateContent>
        <mc:AlternateContent xmlns:mc="http://schemas.openxmlformats.org/markup-compatibility/2006">
          <mc:Choice Requires="x14">
            <control shapeId="16476" r:id="rId7" name="Button 92">
              <controlPr defaultSize="0" print="0" autoFill="0" autoPict="0" macro="[0]!Sheet2_Ohjeet">
                <anchor moveWithCells="1" sizeWithCells="1">
                  <from>
                    <xdr:col>0</xdr:col>
                    <xdr:colOff>0</xdr:colOff>
                    <xdr:row>20</xdr:row>
                    <xdr:rowOff>0</xdr:rowOff>
                  </from>
                  <to>
                    <xdr:col>1</xdr:col>
                    <xdr:colOff>9525</xdr:colOff>
                    <xdr:row>20</xdr:row>
                    <xdr:rowOff>0</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1761A4-A69F-A246-9B26-F479F6586C1B}">
  <sheetPr codeName="Sheet6">
    <tabColor rgb="FFFFE69D"/>
  </sheetPr>
  <dimension ref="B1:E23"/>
  <sheetViews>
    <sheetView showGridLines="0" zoomScaleNormal="100" workbookViewId="0">
      <pane ySplit="2" topLeftCell="A3" activePane="bottomLeft" state="frozen"/>
      <selection pane="bottomLeft" activeCell="G8" sqref="G8"/>
    </sheetView>
  </sheetViews>
  <sheetFormatPr defaultColWidth="11.42578125" defaultRowHeight="15"/>
  <cols>
    <col min="1" max="1" width="3.28515625" customWidth="1"/>
    <col min="2" max="2" width="30.85546875" customWidth="1"/>
    <col min="3" max="3" width="50.85546875" customWidth="1"/>
    <col min="4" max="4" width="114.85546875" customWidth="1"/>
  </cols>
  <sheetData>
    <row r="1" spans="2:5" ht="50.1" customHeight="1" thickBot="1">
      <c r="B1" s="887" t="s">
        <v>438</v>
      </c>
      <c r="C1" s="887"/>
      <c r="D1" s="887"/>
    </row>
    <row r="2" spans="2:5" ht="69.95" customHeight="1" thickBot="1">
      <c r="B2" s="308" t="s">
        <v>821</v>
      </c>
      <c r="C2" s="480" t="s">
        <v>822</v>
      </c>
      <c r="D2" s="485" t="s">
        <v>416</v>
      </c>
      <c r="E2" s="251"/>
    </row>
    <row r="3" spans="2:5" ht="60" customHeight="1">
      <c r="B3" s="893" t="s">
        <v>409</v>
      </c>
      <c r="C3" s="703" t="s">
        <v>823</v>
      </c>
      <c r="D3" s="704" t="s">
        <v>417</v>
      </c>
      <c r="E3" s="251"/>
    </row>
    <row r="4" spans="2:5" ht="81.95" customHeight="1">
      <c r="B4" s="893"/>
      <c r="C4" s="702" t="s">
        <v>824</v>
      </c>
      <c r="D4" s="704" t="s">
        <v>615</v>
      </c>
      <c r="E4" s="251"/>
    </row>
    <row r="5" spans="2:5" ht="99.95" customHeight="1">
      <c r="B5" s="893"/>
      <c r="C5" s="702" t="s">
        <v>825</v>
      </c>
      <c r="D5" s="705" t="s">
        <v>596</v>
      </c>
      <c r="E5" s="251"/>
    </row>
    <row r="6" spans="2:5" ht="99.95" customHeight="1">
      <c r="B6" s="893"/>
      <c r="C6" s="702" t="s">
        <v>826</v>
      </c>
      <c r="D6" s="705" t="s">
        <v>827</v>
      </c>
      <c r="E6" s="251"/>
    </row>
    <row r="7" spans="2:5" ht="79.5" customHeight="1">
      <c r="B7" s="893"/>
      <c r="C7" s="702" t="s">
        <v>828</v>
      </c>
      <c r="D7" s="705" t="s">
        <v>620</v>
      </c>
      <c r="E7" s="251"/>
    </row>
    <row r="8" spans="2:5" ht="79.5" customHeight="1" thickBot="1">
      <c r="B8" s="894"/>
      <c r="C8" s="701" t="s">
        <v>829</v>
      </c>
      <c r="D8" s="706" t="s">
        <v>598</v>
      </c>
      <c r="E8" s="251"/>
    </row>
    <row r="9" spans="2:5" ht="9.9499999999999993" customHeight="1" thickBot="1">
      <c r="B9" s="891"/>
      <c r="C9" s="889"/>
      <c r="D9" s="890"/>
    </row>
    <row r="10" spans="2:5" ht="99.95" customHeight="1">
      <c r="B10" s="892" t="s">
        <v>830</v>
      </c>
      <c r="C10" s="718" t="s">
        <v>831</v>
      </c>
      <c r="D10" s="705" t="s">
        <v>614</v>
      </c>
    </row>
    <row r="11" spans="2:5" ht="155.1" customHeight="1">
      <c r="B11" s="893"/>
      <c r="C11" s="702" t="s">
        <v>832</v>
      </c>
      <c r="D11" s="716" t="s">
        <v>610</v>
      </c>
    </row>
    <row r="12" spans="2:5" ht="249.95" customHeight="1">
      <c r="B12" s="893"/>
      <c r="C12" s="895" t="s">
        <v>423</v>
      </c>
      <c r="D12" s="897" t="s">
        <v>442</v>
      </c>
    </row>
    <row r="13" spans="2:5" ht="260.10000000000002" customHeight="1">
      <c r="B13" s="893"/>
      <c r="C13" s="896"/>
      <c r="D13" s="898"/>
    </row>
    <row r="14" spans="2:5" ht="21.95" customHeight="1">
      <c r="B14" s="893"/>
      <c r="C14" s="719"/>
      <c r="D14" s="484" t="s">
        <v>441</v>
      </c>
      <c r="E14" s="717"/>
    </row>
    <row r="15" spans="2:5" ht="408.95" customHeight="1" thickBot="1">
      <c r="B15" s="894"/>
      <c r="C15" s="715" t="s">
        <v>833</v>
      </c>
      <c r="D15" s="707" t="s">
        <v>418</v>
      </c>
    </row>
    <row r="16" spans="2:5" ht="9.9499999999999993" customHeight="1" thickBot="1">
      <c r="B16" s="888"/>
      <c r="C16" s="889"/>
      <c r="D16" s="890"/>
    </row>
    <row r="17" spans="2:4" ht="28.5">
      <c r="B17" s="892" t="s">
        <v>834</v>
      </c>
      <c r="C17" s="700" t="s">
        <v>377</v>
      </c>
      <c r="D17" s="705" t="s">
        <v>419</v>
      </c>
    </row>
    <row r="18" spans="2:4" ht="57.75" thickBot="1">
      <c r="B18" s="894"/>
      <c r="C18" s="701" t="s">
        <v>396</v>
      </c>
      <c r="D18" s="706" t="s">
        <v>420</v>
      </c>
    </row>
    <row r="19" spans="2:4" ht="9.9499999999999993" customHeight="1" thickBot="1">
      <c r="B19" s="888"/>
      <c r="C19" s="889"/>
      <c r="D19" s="890"/>
    </row>
    <row r="20" spans="2:4" ht="147" customHeight="1" thickBot="1">
      <c r="B20" s="698" t="s">
        <v>835</v>
      </c>
      <c r="C20" s="699" t="s">
        <v>422</v>
      </c>
      <c r="D20" s="708" t="s">
        <v>421</v>
      </c>
    </row>
    <row r="21" spans="2:4" ht="9.9499999999999993" customHeight="1" thickBot="1">
      <c r="B21" s="888"/>
      <c r="C21" s="889"/>
      <c r="D21" s="890"/>
    </row>
    <row r="22" spans="2:4" ht="99.95" customHeight="1"/>
    <row r="23" spans="2:4" ht="99.95" customHeight="1"/>
  </sheetData>
  <sheetProtection algorithmName="SHA-512" hashValue="6V/8EiSHyjlhaA+iGwMtiteMoqVNqOopBIjrdN8Ho1eAnKXC1D3/yPy7nwTn4+0nn9tKkR+Ty7Xtot8Zr+lXag==" saltValue="fYZvaFyu23/ocwUtIXeoVw==" spinCount="100000" sheet="1" objects="1" scenarios="1"/>
  <mergeCells count="10">
    <mergeCell ref="B1:D1"/>
    <mergeCell ref="B21:D21"/>
    <mergeCell ref="B16:D16"/>
    <mergeCell ref="B9:D9"/>
    <mergeCell ref="B10:B15"/>
    <mergeCell ref="B3:B8"/>
    <mergeCell ref="B17:B18"/>
    <mergeCell ref="B19:D19"/>
    <mergeCell ref="C12:C13"/>
    <mergeCell ref="D12:D13"/>
  </mergeCells>
  <dataValidations disablePrompts="1" count="2">
    <dataValidation allowBlank="1" showErrorMessage="1" sqref="C7:C8 C4 C12 C14:C15" xr:uid="{1E2980D6-735E-8E44-A5A1-282C457EA5D7}"/>
    <dataValidation allowBlank="1" showErrorMessage="1" prompt="_x000a__x000a_" sqref="C20" xr:uid="{7E213691-82F9-7248-9F61-904E22AD9142}"/>
  </dataValidation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3">
    <pageSetUpPr autoPageBreaks="0"/>
  </sheetPr>
  <dimension ref="A1:BY68"/>
  <sheetViews>
    <sheetView zoomScaleNormal="100" zoomScaleSheetLayoutView="70" workbookViewId="0">
      <selection activeCell="K30" sqref="K30"/>
    </sheetView>
  </sheetViews>
  <sheetFormatPr defaultColWidth="9.140625" defaultRowHeight="15"/>
  <cols>
    <col min="1" max="1" width="25.42578125" style="134" customWidth="1"/>
    <col min="2" max="2" width="43.85546875" style="74" customWidth="1"/>
    <col min="3" max="3" width="39.42578125" style="140" customWidth="1"/>
    <col min="4" max="4" width="7" style="81" customWidth="1"/>
    <col min="5" max="5" width="37.140625" style="140" customWidth="1"/>
    <col min="6" max="6" width="7.42578125" style="81" customWidth="1"/>
    <col min="7" max="7" width="32.42578125" style="139" customWidth="1"/>
    <col min="8" max="8" width="7" style="81" customWidth="1"/>
    <col min="9" max="9" width="31.42578125" style="140" customWidth="1"/>
    <col min="10" max="10" width="7" style="81" customWidth="1"/>
    <col min="11" max="11" width="31.42578125" style="140" customWidth="1"/>
    <col min="12" max="12" width="7" style="81" customWidth="1"/>
    <col min="13" max="14" width="17.140625" style="163" customWidth="1"/>
    <col min="15" max="15" width="5.140625" style="36" customWidth="1"/>
    <col min="16" max="16" width="47.42578125" style="74" hidden="1" customWidth="1"/>
    <col min="17" max="21" width="8.85546875" style="36" hidden="1" customWidth="1"/>
    <col min="22" max="22" width="8.85546875" style="66" hidden="1" customWidth="1"/>
    <col min="23" max="23" width="8.85546875" style="45" hidden="1" customWidth="1"/>
    <col min="24" max="25" width="8.85546875" style="36" hidden="1" customWidth="1"/>
    <col min="26" max="33" width="8.85546875" style="20" hidden="1" customWidth="1"/>
    <col min="34" max="34" width="8.85546875" style="20" customWidth="1"/>
    <col min="35" max="35" width="7" style="20" customWidth="1"/>
    <col min="36" max="48" width="11.42578125" style="20" customWidth="1"/>
    <col min="49" max="49" width="7" style="20" customWidth="1"/>
    <col min="50" max="50" width="44.85546875" style="20" customWidth="1"/>
    <col min="51" max="51" width="27.140625" style="20" customWidth="1"/>
    <col min="52" max="52" width="43.85546875" style="20" customWidth="1"/>
    <col min="53" max="53" width="29.42578125" style="20" customWidth="1"/>
    <col min="54" max="54" width="30.140625" style="20" customWidth="1"/>
    <col min="55" max="55" width="31.42578125" style="20" customWidth="1"/>
    <col min="56" max="56" width="12.42578125" style="20" customWidth="1"/>
    <col min="57" max="59" width="7" style="20" customWidth="1"/>
    <col min="60" max="63" width="8.85546875" style="20" customWidth="1"/>
    <col min="64" max="73" width="8.85546875" style="36" customWidth="1"/>
    <col min="74" max="77" width="9.140625" style="36"/>
    <col min="78" max="16384" width="9.140625" style="74"/>
  </cols>
  <sheetData>
    <row r="1" spans="1:77" s="100" customFormat="1" ht="87" customHeight="1" thickBot="1">
      <c r="A1" s="502" t="s">
        <v>836</v>
      </c>
      <c r="B1" s="503" t="s">
        <v>837</v>
      </c>
      <c r="C1" s="899" t="s">
        <v>838</v>
      </c>
      <c r="D1" s="899"/>
      <c r="E1" s="899" t="s">
        <v>839</v>
      </c>
      <c r="F1" s="899"/>
      <c r="G1" s="899" t="s">
        <v>840</v>
      </c>
      <c r="H1" s="899"/>
      <c r="I1" s="899" t="s">
        <v>841</v>
      </c>
      <c r="J1" s="899"/>
      <c r="K1" s="899" t="s">
        <v>842</v>
      </c>
      <c r="L1" s="900"/>
      <c r="M1" s="583" t="s">
        <v>843</v>
      </c>
      <c r="N1" s="583" t="s">
        <v>2</v>
      </c>
      <c r="O1" s="98"/>
      <c r="P1" s="584" t="s">
        <v>357</v>
      </c>
      <c r="Q1" s="36"/>
      <c r="R1" s="36"/>
      <c r="S1" s="36"/>
      <c r="T1" s="36"/>
      <c r="U1" s="36"/>
      <c r="V1" s="66"/>
      <c r="W1" s="45"/>
      <c r="X1" s="36"/>
      <c r="Y1" s="36"/>
      <c r="Z1" s="20"/>
      <c r="AA1" s="20"/>
      <c r="AB1" s="20"/>
      <c r="AC1" s="20"/>
      <c r="AD1" s="20"/>
      <c r="AE1" s="20"/>
      <c r="AF1" s="20"/>
      <c r="AG1" s="20"/>
      <c r="AH1" s="20"/>
      <c r="AI1" s="20"/>
      <c r="AJ1" s="457" t="s">
        <v>844</v>
      </c>
      <c r="AK1" s="457" t="s">
        <v>845</v>
      </c>
      <c r="AL1" s="457" t="s">
        <v>846</v>
      </c>
      <c r="AM1" s="457" t="s">
        <v>847</v>
      </c>
      <c r="AN1" s="457" t="s">
        <v>848</v>
      </c>
      <c r="AO1" s="457" t="s">
        <v>117</v>
      </c>
      <c r="AP1" s="458"/>
      <c r="AQ1" s="457" t="s">
        <v>849</v>
      </c>
      <c r="AR1" s="457" t="s">
        <v>850</v>
      </c>
      <c r="AS1" s="457" t="s">
        <v>851</v>
      </c>
      <c r="AT1" s="457" t="s">
        <v>852</v>
      </c>
      <c r="AU1" s="457" t="s">
        <v>853</v>
      </c>
      <c r="AV1" s="457" t="s">
        <v>854</v>
      </c>
      <c r="AW1" s="141"/>
      <c r="AX1" s="901" t="s">
        <v>855</v>
      </c>
      <c r="AY1" s="901"/>
      <c r="AZ1" s="433"/>
      <c r="BA1" s="434"/>
      <c r="BB1" s="435"/>
      <c r="BF1" s="433" t="s">
        <v>126</v>
      </c>
      <c r="BJ1" s="141"/>
      <c r="BK1" s="141"/>
      <c r="BL1" s="99"/>
      <c r="BM1" s="99"/>
      <c r="BN1" s="99"/>
      <c r="BO1" s="99"/>
      <c r="BP1" s="99"/>
      <c r="BQ1" s="99"/>
      <c r="BR1" s="99"/>
      <c r="BS1" s="99"/>
      <c r="BT1" s="99"/>
      <c r="BU1" s="99"/>
      <c r="BV1" s="99"/>
      <c r="BW1" s="99"/>
      <c r="BX1" s="99"/>
      <c r="BY1" s="99"/>
    </row>
    <row r="2" spans="1:77" s="104" customFormat="1" ht="32.1" customHeight="1">
      <c r="A2" s="904" t="s">
        <v>856</v>
      </c>
      <c r="B2" s="504" t="s">
        <v>857</v>
      </c>
      <c r="C2" s="505" t="s">
        <v>536</v>
      </c>
      <c r="D2" s="517">
        <v>3</v>
      </c>
      <c r="E2" s="506" t="s">
        <v>858</v>
      </c>
      <c r="F2" s="517">
        <v>3</v>
      </c>
      <c r="G2" s="507" t="s">
        <v>496</v>
      </c>
      <c r="H2" s="521">
        <v>3</v>
      </c>
      <c r="I2" s="506" t="s">
        <v>543</v>
      </c>
      <c r="J2" s="521">
        <v>2.5</v>
      </c>
      <c r="K2" s="506" t="s">
        <v>497</v>
      </c>
      <c r="L2" s="579">
        <v>3</v>
      </c>
      <c r="M2" s="582">
        <f>(D2*$AY$3+F2*$AY$9+H2*$AY$14+J2*$AY$15+L2*$AY$16)/5</f>
        <v>3.4673611111111109</v>
      </c>
      <c r="N2" s="582">
        <f>Grönkoefficient!L3</f>
        <v>0</v>
      </c>
      <c r="O2" s="143">
        <f>(D2*$AY$3+F2*$AY$9+H2*$AY$14+J2*$AY$15+L2*$AY$16)/($AY$3+$AY$9+$AY$14+$AY$15+$AY$16)</f>
        <v>2.9405182567726742</v>
      </c>
      <c r="P2" s="499" t="s">
        <v>859</v>
      </c>
      <c r="Q2" s="36"/>
      <c r="R2" s="36"/>
      <c r="S2" s="36"/>
      <c r="T2" s="36"/>
      <c r="U2" s="36"/>
      <c r="V2" s="144"/>
      <c r="W2" s="144"/>
      <c r="X2" s="36"/>
      <c r="Y2" s="36"/>
      <c r="Z2" s="20"/>
      <c r="AA2" s="20"/>
      <c r="AB2" s="20"/>
      <c r="AC2" s="20"/>
      <c r="AD2" s="20"/>
      <c r="AE2" s="20"/>
      <c r="AF2" s="20"/>
      <c r="AG2" s="20"/>
      <c r="AH2" s="20"/>
      <c r="AI2" s="20"/>
      <c r="AJ2" s="459">
        <f>IF($N2&gt;0,AQ2,0)</f>
        <v>0</v>
      </c>
      <c r="AK2" s="459">
        <f>IF($N2&gt;0,AR2,0)</f>
        <v>0</v>
      </c>
      <c r="AL2" s="459">
        <f>IF($N2&gt;0,AS2,0)</f>
        <v>0</v>
      </c>
      <c r="AM2" s="459">
        <f>IF($N2&gt;0,AT2,0)</f>
        <v>0</v>
      </c>
      <c r="AN2" s="459">
        <f>IF($N2&gt;0,AU2,0)</f>
        <v>0</v>
      </c>
      <c r="AO2" s="460">
        <f>SUM(AJ2:AN2)</f>
        <v>0</v>
      </c>
      <c r="AP2" s="114"/>
      <c r="AQ2" s="461">
        <f>D2*$AY$3/5/M2</f>
        <v>0.27458441818545959</v>
      </c>
      <c r="AR2" s="461">
        <f>F2*$AY$9/5/M2</f>
        <v>0.26196675345483678</v>
      </c>
      <c r="AS2" s="461">
        <f>H2*$AY$14/5/M2</f>
        <v>0.14600440616863608</v>
      </c>
      <c r="AT2" s="461">
        <f>J2*$AY$15/5/M2</f>
        <v>0.10114159823753255</v>
      </c>
      <c r="AU2" s="461">
        <f>L2*$AY$16/5/M2</f>
        <v>0.21630282395353495</v>
      </c>
      <c r="AV2" s="462">
        <f>SUM(AQ2:AU2)</f>
        <v>1</v>
      </c>
      <c r="AW2" s="146"/>
      <c r="AX2" s="305" t="s">
        <v>860</v>
      </c>
      <c r="AY2" s="305" t="s">
        <v>21</v>
      </c>
      <c r="AZ2" s="436" t="s">
        <v>861</v>
      </c>
      <c r="BA2" s="437">
        <f>SUM(AY3:AY16)</f>
        <v>5.8958333333333321</v>
      </c>
      <c r="BB2" s="305"/>
      <c r="BF2" s="104">
        <f>IF(AND(N2&gt;0,N2&lt;&gt;"-"),1,0)</f>
        <v>0</v>
      </c>
      <c r="BJ2" s="147"/>
      <c r="BK2" s="147"/>
      <c r="BL2" s="103"/>
      <c r="BM2" s="103"/>
      <c r="BN2" s="103"/>
      <c r="BO2" s="103"/>
      <c r="BP2" s="103"/>
      <c r="BQ2" s="103"/>
      <c r="BR2" s="103"/>
      <c r="BS2" s="103"/>
      <c r="BT2" s="103"/>
      <c r="BU2" s="103"/>
      <c r="BV2" s="103"/>
      <c r="BW2" s="103"/>
      <c r="BX2" s="103"/>
      <c r="BY2" s="103"/>
    </row>
    <row r="3" spans="1:77" s="104" customFormat="1" ht="32.1" customHeight="1">
      <c r="A3" s="905"/>
      <c r="B3" s="508" t="s">
        <v>862</v>
      </c>
      <c r="C3" s="509" t="s">
        <v>863</v>
      </c>
      <c r="D3" s="518">
        <v>2.5</v>
      </c>
      <c r="E3" s="509" t="s">
        <v>864</v>
      </c>
      <c r="F3" s="518">
        <v>2.5</v>
      </c>
      <c r="G3" s="510" t="s">
        <v>498</v>
      </c>
      <c r="H3" s="522">
        <v>2.8</v>
      </c>
      <c r="I3" s="509" t="s">
        <v>499</v>
      </c>
      <c r="J3" s="522">
        <v>2.5</v>
      </c>
      <c r="K3" s="509" t="s">
        <v>500</v>
      </c>
      <c r="L3" s="580">
        <v>3</v>
      </c>
      <c r="M3" s="578">
        <f>(D3*$AY$3+F3*$AY$9+H3*$AY$14+J3*$AY$15+L3*$AY$16)/5</f>
        <v>3.1235416666666662</v>
      </c>
      <c r="N3" s="578">
        <f>Grönkoefficient!L4</f>
        <v>0</v>
      </c>
      <c r="O3" s="149">
        <f>(D3*$AY$3+F3*$AY$9+H3*$AY$14+J3*$AY$15+L3*$AY$16)/($AY$3+$AY$9+$AY$14+$AY$15+$AY$16)</f>
        <v>2.648939929328622</v>
      </c>
      <c r="P3" s="499" t="s">
        <v>865</v>
      </c>
      <c r="Q3" s="36"/>
      <c r="R3" s="36"/>
      <c r="S3" s="36"/>
      <c r="T3" s="36"/>
      <c r="U3" s="36"/>
      <c r="V3" s="144"/>
      <c r="W3" s="144"/>
      <c r="X3" s="36"/>
      <c r="Y3" s="36"/>
      <c r="Z3" s="20"/>
      <c r="AA3" s="20"/>
      <c r="AB3" s="20"/>
      <c r="AC3" s="20"/>
      <c r="AD3" s="20"/>
      <c r="AE3" s="20"/>
      <c r="AF3" s="20"/>
      <c r="AG3" s="20"/>
      <c r="AH3" s="20"/>
      <c r="AI3" s="20"/>
      <c r="AJ3" s="459">
        <f>IF($N3&gt;0,AQ3,0)</f>
        <v>0</v>
      </c>
      <c r="AK3" s="459">
        <f t="shared" ref="AK3:AK19" si="0">IF($N3&gt;0,AR3,0)</f>
        <v>0</v>
      </c>
      <c r="AL3" s="459">
        <f t="shared" ref="AL3:AL19" si="1">IF($N3&gt;0,AS3,0)</f>
        <v>0</v>
      </c>
      <c r="AM3" s="459">
        <f t="shared" ref="AM3:AM19" si="2">IF($N3&gt;0,AT3,0)</f>
        <v>0</v>
      </c>
      <c r="AN3" s="459">
        <f t="shared" ref="AN3:AN19" si="3">IF($N3&gt;0,AU3,0)</f>
        <v>0</v>
      </c>
      <c r="AO3" s="460">
        <f t="shared" ref="AO3:AO19" si="4">SUM(AJ3:AN3)</f>
        <v>0</v>
      </c>
      <c r="AP3" s="114"/>
      <c r="AQ3" s="461">
        <f t="shared" ref="AQ3:AQ19" si="5">D3*$AY$3/5/M3</f>
        <v>0.25400742568754309</v>
      </c>
      <c r="AR3" s="461">
        <f>F3*$AY$9/5/M3</f>
        <v>0.24233531203450498</v>
      </c>
      <c r="AS3" s="461">
        <f>H3*$AY$14/5/M3</f>
        <v>0.15127059294337358</v>
      </c>
      <c r="AT3" s="461">
        <f>J3*$AY$15/5/M3</f>
        <v>0.1122746170435092</v>
      </c>
      <c r="AU3" s="461">
        <f>L3*$AY$16/5/M3</f>
        <v>0.24011205229106919</v>
      </c>
      <c r="AV3" s="462">
        <f>SUM(AQ3:AU3)</f>
        <v>1</v>
      </c>
      <c r="AW3" s="150"/>
      <c r="AX3" s="902" t="s">
        <v>866</v>
      </c>
      <c r="AY3" s="903">
        <v>1.5868055555555554</v>
      </c>
      <c r="AZ3" s="910" t="s">
        <v>281</v>
      </c>
      <c r="BA3" s="909">
        <f>AY3/$BA$2</f>
        <v>0.26914016489988224</v>
      </c>
      <c r="BB3" s="441"/>
      <c r="BF3" s="104">
        <f t="shared" ref="BF3" si="6">IF(AND(N3&gt;0,N3&lt;&gt;"-"),1,0)</f>
        <v>0</v>
      </c>
      <c r="BJ3" s="147"/>
      <c r="BK3" s="147"/>
      <c r="BL3" s="103"/>
      <c r="BM3" s="103"/>
      <c r="BN3" s="103"/>
      <c r="BO3" s="103"/>
      <c r="BP3" s="103"/>
      <c r="BQ3" s="103"/>
      <c r="BR3" s="103"/>
      <c r="BS3" s="103"/>
      <c r="BT3" s="103"/>
      <c r="BU3" s="103"/>
      <c r="BV3" s="103"/>
      <c r="BW3" s="103"/>
      <c r="BX3" s="103"/>
      <c r="BY3" s="103"/>
    </row>
    <row r="4" spans="1:77" ht="32.1" customHeight="1">
      <c r="A4" s="905"/>
      <c r="B4" s="508" t="s">
        <v>867</v>
      </c>
      <c r="C4" s="509" t="s">
        <v>537</v>
      </c>
      <c r="D4" s="518">
        <v>2.5</v>
      </c>
      <c r="E4" s="509" t="s">
        <v>539</v>
      </c>
      <c r="F4" s="518">
        <v>2.5</v>
      </c>
      <c r="G4" s="510" t="s">
        <v>541</v>
      </c>
      <c r="H4" s="522">
        <v>3</v>
      </c>
      <c r="I4" s="509" t="s">
        <v>868</v>
      </c>
      <c r="J4" s="522">
        <v>2.5</v>
      </c>
      <c r="K4" s="509" t="s">
        <v>501</v>
      </c>
      <c r="L4" s="580">
        <v>2.5</v>
      </c>
      <c r="M4" s="578">
        <f>(D4*$AY$3+F4*$AY$9+H4*$AY$14+J4*$AY$15+L4*$AY$16)/5</f>
        <v>3.0322916666666666</v>
      </c>
      <c r="N4" s="578">
        <f>Grönkoefficient!L5</f>
        <v>0</v>
      </c>
      <c r="O4" s="149">
        <f>(D4*$AY$3+F4*$AY$9+H4*$AY$14+J4*$AY$15+L4*$AY$16)/($AY$3+$AY$9+$AY$14+$AY$15+$AY$16)</f>
        <v>2.5715547703180217</v>
      </c>
      <c r="P4" s="499" t="s">
        <v>869</v>
      </c>
      <c r="V4" s="144"/>
      <c r="W4" s="144"/>
      <c r="AJ4" s="459">
        <f t="shared" ref="AJ4:AJ19" si="7">IF($N4&gt;0,AQ4,0)</f>
        <v>0</v>
      </c>
      <c r="AK4" s="459">
        <f t="shared" si="0"/>
        <v>0</v>
      </c>
      <c r="AL4" s="459">
        <f t="shared" si="1"/>
        <v>0</v>
      </c>
      <c r="AM4" s="459">
        <f t="shared" si="2"/>
        <v>0</v>
      </c>
      <c r="AN4" s="459">
        <f t="shared" si="3"/>
        <v>0</v>
      </c>
      <c r="AO4" s="460">
        <f t="shared" si="4"/>
        <v>0</v>
      </c>
      <c r="AP4" s="114"/>
      <c r="AQ4" s="461">
        <f t="shared" si="5"/>
        <v>0.26165120806137637</v>
      </c>
      <c r="AR4" s="461">
        <f>F4*$AY$9/5/M4</f>
        <v>0.24962784839115992</v>
      </c>
      <c r="AS4" s="461">
        <f>H4*$AY$14/5/M4</f>
        <v>0.16695293713500514</v>
      </c>
      <c r="AT4" s="461">
        <f>J4*$AY$15/5/M4</f>
        <v>0.11565326920874842</v>
      </c>
      <c r="AU4" s="461">
        <f>L4*$AY$16/5/M4</f>
        <v>0.20611473720371007</v>
      </c>
      <c r="AV4" s="462">
        <f t="shared" ref="AV4:AV19" si="8">SUM(AQ4:AU4)</f>
        <v>0.99999999999999989</v>
      </c>
      <c r="AW4" s="150"/>
      <c r="AX4" s="902"/>
      <c r="AY4" s="903"/>
      <c r="AZ4" s="910"/>
      <c r="BA4" s="909"/>
      <c r="BB4" s="441"/>
      <c r="BC4" s="442"/>
      <c r="BD4" s="74"/>
      <c r="BE4" s="74"/>
      <c r="BF4" s="104">
        <f t="shared" ref="BF4:BF23" si="9">IF(AND(N4&gt;0,N4&lt;&gt;"-"),1,0)</f>
        <v>0</v>
      </c>
      <c r="BG4" s="74"/>
      <c r="BH4" s="74"/>
      <c r="BI4" s="74"/>
    </row>
    <row r="5" spans="1:77" ht="32.1" customHeight="1" thickBot="1">
      <c r="A5" s="905"/>
      <c r="B5" s="508" t="s">
        <v>573</v>
      </c>
      <c r="C5" s="509" t="s">
        <v>538</v>
      </c>
      <c r="D5" s="518">
        <v>2.2000000000000002</v>
      </c>
      <c r="E5" s="509" t="s">
        <v>540</v>
      </c>
      <c r="F5" s="518">
        <v>2.2000000000000002</v>
      </c>
      <c r="G5" s="510" t="s">
        <v>542</v>
      </c>
      <c r="H5" s="522">
        <v>2.8</v>
      </c>
      <c r="I5" s="509" t="s">
        <v>870</v>
      </c>
      <c r="J5" s="522">
        <v>2.5</v>
      </c>
      <c r="K5" s="509" t="s">
        <v>502</v>
      </c>
      <c r="L5" s="580">
        <v>2.5</v>
      </c>
      <c r="M5" s="578">
        <f t="shared" ref="M5:M6" si="10">(D5*$AY$3+F5*$AY$9+H5*$AY$14+J5*$AY$15+L5*$AY$16)/5</f>
        <v>2.8125</v>
      </c>
      <c r="N5" s="578">
        <f>Grönkoefficient!L6</f>
        <v>0</v>
      </c>
      <c r="O5" s="149"/>
      <c r="P5" s="501" t="s">
        <v>871</v>
      </c>
      <c r="V5" s="144"/>
      <c r="W5" s="144"/>
      <c r="AJ5" s="459">
        <f t="shared" si="7"/>
        <v>0</v>
      </c>
      <c r="AK5" s="459">
        <f t="shared" si="0"/>
        <v>0</v>
      </c>
      <c r="AL5" s="459">
        <f t="shared" si="1"/>
        <v>0</v>
      </c>
      <c r="AM5" s="459">
        <f t="shared" si="2"/>
        <v>0</v>
      </c>
      <c r="AN5" s="459">
        <f t="shared" si="3"/>
        <v>0</v>
      </c>
      <c r="AO5" s="460">
        <f t="shared" si="4"/>
        <v>0</v>
      </c>
      <c r="AP5" s="145"/>
      <c r="AQ5" s="461">
        <f t="shared" si="5"/>
        <v>0.24824691358024692</v>
      </c>
      <c r="AR5" s="461">
        <f t="shared" ref="AR5:AR6" si="11">F5*$AY$9/5/M5</f>
        <v>0.2368395061728395</v>
      </c>
      <c r="AS5" s="461">
        <f t="shared" ref="AS5:AS6" si="12">H5*$AY$14/5/M5</f>
        <v>0.16799999999999998</v>
      </c>
      <c r="AT5" s="461">
        <f t="shared" ref="AT5:AT6" si="13">J5*$AY$15/5/M5</f>
        <v>0.12469135802469135</v>
      </c>
      <c r="AU5" s="461">
        <f t="shared" ref="AU5:AU6" si="14">L5*$AY$16/5/M5</f>
        <v>0.22222222222222221</v>
      </c>
      <c r="AV5" s="462">
        <f t="shared" si="8"/>
        <v>0.99999999999999989</v>
      </c>
      <c r="AW5" s="150"/>
      <c r="AX5" s="902"/>
      <c r="AY5" s="903"/>
      <c r="AZ5" s="910"/>
      <c r="BA5" s="909"/>
      <c r="BB5" s="441"/>
      <c r="BC5" s="442"/>
      <c r="BD5" s="74"/>
      <c r="BE5" s="74"/>
      <c r="BF5" s="104">
        <f t="shared" si="9"/>
        <v>0</v>
      </c>
      <c r="BG5" s="74"/>
      <c r="BH5" s="74"/>
      <c r="BI5" s="74"/>
    </row>
    <row r="6" spans="1:77" ht="32.1" customHeight="1">
      <c r="A6" s="905"/>
      <c r="B6" s="508" t="s">
        <v>872</v>
      </c>
      <c r="C6" s="509" t="s">
        <v>873</v>
      </c>
      <c r="D6" s="518">
        <v>2</v>
      </c>
      <c r="E6" s="509" t="s">
        <v>874</v>
      </c>
      <c r="F6" s="518">
        <v>2</v>
      </c>
      <c r="G6" s="510" t="s">
        <v>875</v>
      </c>
      <c r="H6" s="522">
        <v>2</v>
      </c>
      <c r="I6" s="509" t="s">
        <v>876</v>
      </c>
      <c r="J6" s="522">
        <v>2</v>
      </c>
      <c r="K6" s="509" t="s">
        <v>192</v>
      </c>
      <c r="L6" s="580">
        <v>2</v>
      </c>
      <c r="M6" s="578">
        <f t="shared" si="10"/>
        <v>2.3583333333333329</v>
      </c>
      <c r="N6" s="578">
        <f>Grönkoefficient!L7</f>
        <v>0</v>
      </c>
      <c r="O6" s="149"/>
      <c r="P6" s="914" t="s">
        <v>358</v>
      </c>
      <c r="V6" s="144"/>
      <c r="W6" s="144"/>
      <c r="AJ6" s="459">
        <f t="shared" si="7"/>
        <v>0</v>
      </c>
      <c r="AK6" s="459">
        <f t="shared" si="0"/>
        <v>0</v>
      </c>
      <c r="AL6" s="459">
        <f t="shared" si="1"/>
        <v>0</v>
      </c>
      <c r="AM6" s="459">
        <f t="shared" si="2"/>
        <v>0</v>
      </c>
      <c r="AN6" s="459">
        <f t="shared" si="3"/>
        <v>0</v>
      </c>
      <c r="AO6" s="460">
        <f t="shared" si="4"/>
        <v>0</v>
      </c>
      <c r="AP6" s="145"/>
      <c r="AQ6" s="461">
        <f t="shared" si="5"/>
        <v>0.26914016489988224</v>
      </c>
      <c r="AR6" s="461">
        <f t="shared" si="11"/>
        <v>0.25677267373380447</v>
      </c>
      <c r="AS6" s="461">
        <f t="shared" si="12"/>
        <v>0.14310954063604245</v>
      </c>
      <c r="AT6" s="461">
        <f t="shared" si="13"/>
        <v>0.11896348645465256</v>
      </c>
      <c r="AU6" s="461">
        <f t="shared" si="14"/>
        <v>0.21201413427561841</v>
      </c>
      <c r="AV6" s="462">
        <f t="shared" si="8"/>
        <v>1</v>
      </c>
      <c r="AW6" s="150"/>
      <c r="AX6" s="902"/>
      <c r="AY6" s="903"/>
      <c r="AZ6" s="910"/>
      <c r="BA6" s="909"/>
      <c r="BB6" s="441"/>
      <c r="BC6" s="442"/>
      <c r="BD6" s="74"/>
      <c r="BE6" s="74"/>
      <c r="BF6" s="104">
        <f t="shared" si="9"/>
        <v>0</v>
      </c>
      <c r="BG6" s="74"/>
      <c r="BH6" s="74"/>
      <c r="BI6" s="74"/>
    </row>
    <row r="7" spans="1:77" ht="32.1" customHeight="1">
      <c r="A7" s="905"/>
      <c r="B7" s="511" t="s">
        <v>877</v>
      </c>
      <c r="C7" s="512" t="s">
        <v>66</v>
      </c>
      <c r="D7" s="519">
        <v>2</v>
      </c>
      <c r="E7" s="479" t="s">
        <v>878</v>
      </c>
      <c r="F7" s="519">
        <v>1.5</v>
      </c>
      <c r="G7" s="513" t="s">
        <v>879</v>
      </c>
      <c r="H7" s="523">
        <v>2</v>
      </c>
      <c r="I7" s="479" t="s">
        <v>880</v>
      </c>
      <c r="J7" s="523">
        <v>2</v>
      </c>
      <c r="K7" s="479" t="s">
        <v>881</v>
      </c>
      <c r="L7" s="538">
        <v>2</v>
      </c>
      <c r="M7" s="546">
        <f>(D7*$AY$3+F7*$AY$9+H7*$AY$14+J7*$AY$15+L7*$AY$16)/5</f>
        <v>2.2069444444444444</v>
      </c>
      <c r="N7" s="546">
        <f>Grönkoefficient!L8</f>
        <v>0</v>
      </c>
      <c r="O7" s="149">
        <f t="shared" ref="O7:O12" si="15">(D7*$AY$3+F7*$AY$9+H7*$AY$14+J7*$AY$15+L7*$AY$16)/($AY$3+$AY$9+$AY$14+$AY$15+$AY$16)</f>
        <v>1.871613663133098</v>
      </c>
      <c r="P7" s="915"/>
      <c r="V7" s="144"/>
      <c r="W7" s="144"/>
      <c r="AJ7" s="459">
        <f t="shared" ref="AJ7:AN8" si="16">IF($N7&gt;0,AQ7,0)</f>
        <v>0</v>
      </c>
      <c r="AK7" s="459">
        <f t="shared" si="16"/>
        <v>0</v>
      </c>
      <c r="AL7" s="459">
        <f t="shared" si="16"/>
        <v>0</v>
      </c>
      <c r="AM7" s="459">
        <f t="shared" si="16"/>
        <v>0</v>
      </c>
      <c r="AN7" s="459">
        <f t="shared" si="16"/>
        <v>0</v>
      </c>
      <c r="AO7" s="460">
        <f>SUM(AJ7:AN7)</f>
        <v>0</v>
      </c>
      <c r="AP7" s="114"/>
      <c r="AQ7" s="461">
        <f>D7*$AY$3/5/M7</f>
        <v>0.28760226557583385</v>
      </c>
      <c r="AR7" s="461">
        <f>F7*$AY$9/5/M7</f>
        <v>0.20578980490874763</v>
      </c>
      <c r="AS7" s="461">
        <f>H7*$AY$14/5/M7</f>
        <v>0.15292636878539964</v>
      </c>
      <c r="AT7" s="461">
        <f>J7*$AY$15/5/M7</f>
        <v>0.12712397734424166</v>
      </c>
      <c r="AU7" s="461">
        <f>L7*$AY$16/5/M7</f>
        <v>0.22655758338577722</v>
      </c>
      <c r="AV7" s="462">
        <f>SUM(AQ7:AU7)</f>
        <v>1</v>
      </c>
      <c r="AW7" s="150"/>
      <c r="AX7" s="902"/>
      <c r="AY7" s="903"/>
      <c r="AZ7" s="910"/>
      <c r="BA7" s="909"/>
      <c r="BB7" s="441"/>
      <c r="BC7" s="442"/>
      <c r="BD7" s="74"/>
      <c r="BE7" s="74"/>
      <c r="BF7" s="104">
        <f t="shared" si="9"/>
        <v>0</v>
      </c>
      <c r="BG7" s="74"/>
      <c r="BH7" s="74"/>
      <c r="BI7" s="74"/>
    </row>
    <row r="8" spans="1:77" ht="32.1" customHeight="1">
      <c r="A8" s="905"/>
      <c r="B8" s="511" t="s">
        <v>882</v>
      </c>
      <c r="C8" s="512" t="s">
        <v>883</v>
      </c>
      <c r="D8" s="519">
        <v>1.5</v>
      </c>
      <c r="E8" s="479" t="s">
        <v>884</v>
      </c>
      <c r="F8" s="519">
        <v>1.5</v>
      </c>
      <c r="G8" s="513" t="s">
        <v>885</v>
      </c>
      <c r="H8" s="523">
        <v>1</v>
      </c>
      <c r="I8" s="479" t="s">
        <v>886</v>
      </c>
      <c r="J8" s="523">
        <v>1</v>
      </c>
      <c r="K8" s="479" t="s">
        <v>887</v>
      </c>
      <c r="L8" s="538">
        <v>1</v>
      </c>
      <c r="M8" s="546">
        <f>(D8*$AY$3+F8*$AY$9+H8*$AY$14+J8*$AY$15+L8*$AY$16)/5</f>
        <v>1.489236111111111</v>
      </c>
      <c r="N8" s="546">
        <f>Grönkoefficient!L9</f>
        <v>0</v>
      </c>
      <c r="O8" s="149">
        <f t="shared" si="15"/>
        <v>1.2629564193168437</v>
      </c>
      <c r="P8" s="499" t="s">
        <v>888</v>
      </c>
      <c r="V8" s="144"/>
      <c r="W8" s="144"/>
      <c r="AJ8" s="459">
        <f t="shared" si="16"/>
        <v>0</v>
      </c>
      <c r="AK8" s="459">
        <f t="shared" si="16"/>
        <v>0</v>
      </c>
      <c r="AL8" s="459">
        <f t="shared" si="16"/>
        <v>0</v>
      </c>
      <c r="AM8" s="459">
        <f t="shared" si="16"/>
        <v>0</v>
      </c>
      <c r="AN8" s="459">
        <f t="shared" si="16"/>
        <v>0</v>
      </c>
      <c r="AO8" s="460">
        <f>SUM(AJ8:AN8)</f>
        <v>0</v>
      </c>
      <c r="AP8" s="114"/>
      <c r="AQ8" s="461">
        <f>D8*$AY$3/5/M8</f>
        <v>0.31965493121939842</v>
      </c>
      <c r="AR8" s="461">
        <f>F8*$AY$9/5/M8</f>
        <v>0.3049661925856843</v>
      </c>
      <c r="AS8" s="461">
        <f>H8*$AY$14/5/M8</f>
        <v>0.11331312660293777</v>
      </c>
      <c r="AT8" s="461">
        <f>J8*$AY$15/5/M8</f>
        <v>9.4194450920960612E-2</v>
      </c>
      <c r="AU8" s="461">
        <f>L8*$AY$16/5/M8</f>
        <v>0.16787129867101891</v>
      </c>
      <c r="AV8" s="462">
        <f>SUM(AQ8:AU8)</f>
        <v>1</v>
      </c>
      <c r="AW8" s="150"/>
      <c r="AX8" s="902"/>
      <c r="AY8" s="903"/>
      <c r="AZ8" s="910"/>
      <c r="BA8" s="909"/>
      <c r="BB8" s="443"/>
      <c r="BC8" s="74"/>
      <c r="BD8" s="74"/>
      <c r="BE8" s="74"/>
      <c r="BF8" s="104">
        <f t="shared" si="9"/>
        <v>0</v>
      </c>
      <c r="BG8" s="74"/>
      <c r="BH8" s="74"/>
      <c r="BI8" s="74"/>
    </row>
    <row r="9" spans="1:77" ht="32.1" customHeight="1" thickBot="1">
      <c r="A9" s="906"/>
      <c r="B9" s="567" t="s">
        <v>889</v>
      </c>
      <c r="C9" s="568" t="s">
        <v>71</v>
      </c>
      <c r="D9" s="569">
        <v>2</v>
      </c>
      <c r="E9" s="570" t="s">
        <v>890</v>
      </c>
      <c r="F9" s="569">
        <v>1</v>
      </c>
      <c r="G9" s="571" t="s">
        <v>891</v>
      </c>
      <c r="H9" s="572">
        <v>3</v>
      </c>
      <c r="I9" s="570" t="s">
        <v>892</v>
      </c>
      <c r="J9" s="572">
        <v>3</v>
      </c>
      <c r="K9" s="570" t="s">
        <v>893</v>
      </c>
      <c r="L9" s="581">
        <v>0</v>
      </c>
      <c r="M9" s="547">
        <f>(D9*$AY$3+F9*$AY$9+H9*$AY$14+J9*$AY$15+L9*$AY$16)/5</f>
        <v>1.8645833333333333</v>
      </c>
      <c r="N9" s="547">
        <f>Grönkoefficient!L10</f>
        <v>0</v>
      </c>
      <c r="O9" s="149">
        <f t="shared" si="15"/>
        <v>1.5812720848056538</v>
      </c>
      <c r="P9" s="499" t="s">
        <v>894</v>
      </c>
      <c r="V9" s="144"/>
      <c r="W9" s="144"/>
      <c r="AJ9" s="459">
        <f t="shared" si="7"/>
        <v>0</v>
      </c>
      <c r="AK9" s="459">
        <f t="shared" si="0"/>
        <v>0</v>
      </c>
      <c r="AL9" s="459">
        <f t="shared" si="1"/>
        <v>0</v>
      </c>
      <c r="AM9" s="459">
        <f t="shared" si="2"/>
        <v>0</v>
      </c>
      <c r="AN9" s="459">
        <f t="shared" si="3"/>
        <v>0</v>
      </c>
      <c r="AO9" s="460">
        <f t="shared" si="4"/>
        <v>0</v>
      </c>
      <c r="AP9" s="114"/>
      <c r="AQ9" s="461">
        <f t="shared" si="5"/>
        <v>0.34040968342644318</v>
      </c>
      <c r="AR9" s="461">
        <f>F9*$AY$9/5/M9</f>
        <v>0.16238361266294224</v>
      </c>
      <c r="AS9" s="461">
        <f>H9*$AY$14/5/M9</f>
        <v>0.27150837988826815</v>
      </c>
      <c r="AT9" s="461">
        <f>J9*$AY$15/5/M9</f>
        <v>0.22569832402234635</v>
      </c>
      <c r="AU9" s="461">
        <f>L9*$AY$16/5/M9</f>
        <v>0</v>
      </c>
      <c r="AV9" s="462">
        <f t="shared" si="8"/>
        <v>0.99999999999999989</v>
      </c>
      <c r="AX9" s="902" t="s">
        <v>895</v>
      </c>
      <c r="AY9" s="903">
        <v>1.5138888888888886</v>
      </c>
      <c r="AZ9" s="910" t="s">
        <v>282</v>
      </c>
      <c r="BA9" s="909">
        <f>AY9/$BA$2</f>
        <v>0.25677267373380447</v>
      </c>
      <c r="BB9" s="74"/>
      <c r="BC9" s="74"/>
      <c r="BD9" s="74"/>
      <c r="BE9" s="74"/>
      <c r="BF9" s="104">
        <f t="shared" si="9"/>
        <v>0</v>
      </c>
      <c r="BG9" s="74"/>
      <c r="BH9" s="74"/>
      <c r="BI9" s="74"/>
    </row>
    <row r="10" spans="1:77" ht="32.1" customHeight="1">
      <c r="A10" s="911" t="s">
        <v>896</v>
      </c>
      <c r="B10" s="504" t="s">
        <v>897</v>
      </c>
      <c r="C10" s="505" t="s">
        <v>503</v>
      </c>
      <c r="D10" s="517">
        <v>2.5</v>
      </c>
      <c r="E10" s="505" t="s">
        <v>504</v>
      </c>
      <c r="F10" s="517">
        <v>2</v>
      </c>
      <c r="G10" s="507" t="s">
        <v>505</v>
      </c>
      <c r="H10" s="521">
        <v>2.8</v>
      </c>
      <c r="I10" s="506" t="s">
        <v>898</v>
      </c>
      <c r="J10" s="521">
        <v>2</v>
      </c>
      <c r="K10" s="506" t="s">
        <v>506</v>
      </c>
      <c r="L10" s="525">
        <v>2.5</v>
      </c>
      <c r="M10" s="577">
        <f>(D10*$AY$3+F10*$AY$9+H10*$AY$14+J10*$AY$15+L10*$AY$16)/5</f>
        <v>2.7770138888888889</v>
      </c>
      <c r="N10" s="577">
        <f>Grönkoefficient!L11</f>
        <v>0</v>
      </c>
      <c r="O10" s="149">
        <f t="shared" si="15"/>
        <v>2.3550647820965844</v>
      </c>
      <c r="P10" s="499" t="s">
        <v>899</v>
      </c>
      <c r="V10" s="144"/>
      <c r="W10" s="144"/>
      <c r="AJ10" s="459">
        <f t="shared" si="7"/>
        <v>0</v>
      </c>
      <c r="AK10" s="459">
        <f t="shared" si="0"/>
        <v>0</v>
      </c>
      <c r="AL10" s="459">
        <f t="shared" si="1"/>
        <v>0</v>
      </c>
      <c r="AM10" s="459">
        <f t="shared" si="2"/>
        <v>0</v>
      </c>
      <c r="AN10" s="459">
        <f t="shared" si="3"/>
        <v>0</v>
      </c>
      <c r="AO10" s="460">
        <f t="shared" si="4"/>
        <v>0</v>
      </c>
      <c r="AP10" s="114"/>
      <c r="AQ10" s="461">
        <f t="shared" si="5"/>
        <v>0.28570356848133233</v>
      </c>
      <c r="AR10" s="461">
        <f>F10*$AY$9/5/M10</f>
        <v>0.21805996649078491</v>
      </c>
      <c r="AS10" s="461">
        <f>H10*$AY$14/5/M10</f>
        <v>0.170146790367351</v>
      </c>
      <c r="AT10" s="461">
        <f>J10*$AY$15/5/M10</f>
        <v>0.10102778264022606</v>
      </c>
      <c r="AU10" s="461">
        <f>L10*$AY$16/5/M10</f>
        <v>0.22506189202030558</v>
      </c>
      <c r="AV10" s="462">
        <f t="shared" si="8"/>
        <v>0.99999999999999989</v>
      </c>
      <c r="AW10" s="150"/>
      <c r="AX10" s="902"/>
      <c r="AY10" s="903"/>
      <c r="AZ10" s="910"/>
      <c r="BA10" s="909"/>
      <c r="BB10" s="443"/>
      <c r="BC10" s="74"/>
      <c r="BD10" s="74"/>
      <c r="BE10" s="74"/>
      <c r="BF10" s="104">
        <f t="shared" si="9"/>
        <v>0</v>
      </c>
      <c r="BG10" s="74"/>
      <c r="BH10" s="74"/>
      <c r="BI10" s="74"/>
    </row>
    <row r="11" spans="1:77" ht="32.1" customHeight="1" thickBot="1">
      <c r="A11" s="912"/>
      <c r="B11" s="508" t="s">
        <v>900</v>
      </c>
      <c r="C11" s="573" t="s">
        <v>544</v>
      </c>
      <c r="D11" s="518">
        <v>2</v>
      </c>
      <c r="E11" s="573" t="s">
        <v>507</v>
      </c>
      <c r="F11" s="518">
        <v>1.5</v>
      </c>
      <c r="G11" s="510" t="s">
        <v>508</v>
      </c>
      <c r="H11" s="522">
        <v>2.6</v>
      </c>
      <c r="I11" s="509" t="s">
        <v>546</v>
      </c>
      <c r="J11" s="522">
        <v>2</v>
      </c>
      <c r="K11" s="509" t="s">
        <v>510</v>
      </c>
      <c r="L11" s="526">
        <v>2.5</v>
      </c>
      <c r="M11" s="578">
        <f>(D11*$AY$3+F11*$AY$9+H11*$AY$14+J11*$AY$15+L11*$AY$16)/5</f>
        <v>2.4331944444444447</v>
      </c>
      <c r="N11" s="578">
        <f>Grönkoefficient!L12</f>
        <v>0</v>
      </c>
      <c r="O11" s="149">
        <f t="shared" si="15"/>
        <v>2.0634864546525331</v>
      </c>
      <c r="P11" s="501" t="s">
        <v>901</v>
      </c>
      <c r="V11" s="144"/>
      <c r="W11" s="144"/>
      <c r="AJ11" s="459">
        <f t="shared" si="7"/>
        <v>0</v>
      </c>
      <c r="AK11" s="459">
        <f t="shared" si="0"/>
        <v>0</v>
      </c>
      <c r="AL11" s="459">
        <f t="shared" si="1"/>
        <v>0</v>
      </c>
      <c r="AM11" s="459">
        <f t="shared" si="2"/>
        <v>0</v>
      </c>
      <c r="AN11" s="459">
        <f>IF($N11&gt;0,AU11,0)</f>
        <v>0</v>
      </c>
      <c r="AO11" s="460">
        <f t="shared" si="4"/>
        <v>0</v>
      </c>
      <c r="AP11" s="114"/>
      <c r="AQ11" s="461">
        <f t="shared" si="5"/>
        <v>0.26085963810719787</v>
      </c>
      <c r="AR11" s="461">
        <f>F11*$AY$9/5/M11</f>
        <v>0.18665448941149604</v>
      </c>
      <c r="AS11" s="461">
        <f>H11*$AY$14/5/M11</f>
        <v>0.1803185113305554</v>
      </c>
      <c r="AT11" s="461">
        <f>J11*$AY$15/5/M11</f>
        <v>0.11530338489639819</v>
      </c>
      <c r="AU11" s="461">
        <f>L11*$AY$16/5/M11</f>
        <v>0.25686397625435242</v>
      </c>
      <c r="AV11" s="462">
        <f t="shared" si="8"/>
        <v>0.99999999999999989</v>
      </c>
      <c r="AW11" s="150"/>
      <c r="AX11" s="902"/>
      <c r="AY11" s="903"/>
      <c r="AZ11" s="910"/>
      <c r="BA11" s="909"/>
      <c r="BB11" s="443"/>
      <c r="BC11" s="74"/>
      <c r="BD11" s="74"/>
      <c r="BE11" s="74"/>
      <c r="BF11" s="104">
        <f t="shared" si="9"/>
        <v>0</v>
      </c>
      <c r="BG11" s="74"/>
      <c r="BH11" s="74"/>
      <c r="BI11" s="74"/>
    </row>
    <row r="12" spans="1:77" ht="32.1" customHeight="1">
      <c r="A12" s="912"/>
      <c r="B12" s="508" t="s">
        <v>902</v>
      </c>
      <c r="C12" s="573" t="s">
        <v>511</v>
      </c>
      <c r="D12" s="518">
        <v>2</v>
      </c>
      <c r="E12" s="573" t="s">
        <v>512</v>
      </c>
      <c r="F12" s="518">
        <v>1.5</v>
      </c>
      <c r="G12" s="510" t="s">
        <v>513</v>
      </c>
      <c r="H12" s="522">
        <v>2.8</v>
      </c>
      <c r="I12" s="509" t="s">
        <v>509</v>
      </c>
      <c r="J12" s="522">
        <v>2</v>
      </c>
      <c r="K12" s="509" t="s">
        <v>514</v>
      </c>
      <c r="L12" s="526">
        <v>2</v>
      </c>
      <c r="M12" s="578">
        <f t="shared" ref="M12:M13" si="17">(D12*$AY$3+F12*$AY$9+H12*$AY$14+J12*$AY$15+L12*$AY$16)/5</f>
        <v>2.3419444444444446</v>
      </c>
      <c r="N12" s="578">
        <f>Grönkoefficient!L13</f>
        <v>0</v>
      </c>
      <c r="O12" s="149">
        <f t="shared" si="15"/>
        <v>1.9861012956419322</v>
      </c>
      <c r="P12" s="112" t="s">
        <v>903</v>
      </c>
      <c r="V12" s="144"/>
      <c r="W12" s="144"/>
      <c r="AJ12" s="459">
        <f t="shared" si="7"/>
        <v>0</v>
      </c>
      <c r="AK12" s="459">
        <f t="shared" si="0"/>
        <v>0</v>
      </c>
      <c r="AL12" s="459">
        <f t="shared" si="1"/>
        <v>0</v>
      </c>
      <c r="AM12" s="459">
        <f t="shared" si="2"/>
        <v>0</v>
      </c>
      <c r="AN12" s="459">
        <f t="shared" ref="AN12:AN13" si="18">IF($N12&gt;0,AU12,0)</f>
        <v>0</v>
      </c>
      <c r="AO12" s="460">
        <f t="shared" si="4"/>
        <v>0</v>
      </c>
      <c r="AP12" s="145"/>
      <c r="AQ12" s="461">
        <f t="shared" si="5"/>
        <v>0.27102360336852088</v>
      </c>
      <c r="AR12" s="461">
        <f t="shared" ref="AR12:AR13" si="19">F12*$AY$9/5/M12</f>
        <v>0.19392717352627206</v>
      </c>
      <c r="AS12" s="461">
        <f t="shared" ref="AS12:AS13" si="20">H12*$AY$14/5/M12</f>
        <v>0.20175542640256194</v>
      </c>
      <c r="AT12" s="461">
        <f t="shared" ref="AT12:AT13" si="21">J12*$AY$15/5/M12</f>
        <v>0.11979599098564819</v>
      </c>
      <c r="AU12" s="461">
        <f t="shared" ref="AU12:AU13" si="22">L12*$AY$16/5/M12</f>
        <v>0.21349780571699678</v>
      </c>
      <c r="AV12" s="462">
        <f t="shared" si="8"/>
        <v>0.99999999999999978</v>
      </c>
      <c r="AW12" s="150"/>
      <c r="AX12" s="81"/>
      <c r="AY12" s="438"/>
      <c r="AZ12" s="439"/>
      <c r="BA12" s="440"/>
      <c r="BB12" s="443"/>
      <c r="BC12" s="74"/>
      <c r="BD12" s="74"/>
      <c r="BE12" s="74"/>
      <c r="BF12" s="104">
        <f t="shared" si="9"/>
        <v>0</v>
      </c>
      <c r="BG12" s="74"/>
      <c r="BH12" s="74"/>
      <c r="BI12" s="74"/>
    </row>
    <row r="13" spans="1:77" ht="32.1" customHeight="1">
      <c r="A13" s="912"/>
      <c r="B13" s="508" t="s">
        <v>470</v>
      </c>
      <c r="C13" s="573" t="s">
        <v>515</v>
      </c>
      <c r="D13" s="518">
        <v>1.8</v>
      </c>
      <c r="E13" s="573" t="s">
        <v>545</v>
      </c>
      <c r="F13" s="518">
        <v>1.3</v>
      </c>
      <c r="G13" s="510" t="s">
        <v>516</v>
      </c>
      <c r="H13" s="522">
        <v>2.6</v>
      </c>
      <c r="I13" s="509" t="s">
        <v>547</v>
      </c>
      <c r="J13" s="522">
        <v>2</v>
      </c>
      <c r="K13" s="509" t="s">
        <v>517</v>
      </c>
      <c r="L13" s="526">
        <v>2</v>
      </c>
      <c r="M13" s="578">
        <f t="shared" si="17"/>
        <v>2.184166666666667</v>
      </c>
      <c r="N13" s="578">
        <f>Grönkoefficient!L14</f>
        <v>0</v>
      </c>
      <c r="O13" s="149"/>
      <c r="P13" s="113" t="s">
        <v>904</v>
      </c>
      <c r="V13" s="144"/>
      <c r="W13" s="144"/>
      <c r="AJ13" s="459">
        <f t="shared" si="7"/>
        <v>0</v>
      </c>
      <c r="AK13" s="459">
        <f t="shared" si="0"/>
        <v>0</v>
      </c>
      <c r="AL13" s="459">
        <f t="shared" si="1"/>
        <v>0</v>
      </c>
      <c r="AM13" s="459">
        <f t="shared" si="2"/>
        <v>0</v>
      </c>
      <c r="AN13" s="459">
        <f t="shared" si="18"/>
        <v>0</v>
      </c>
      <c r="AO13" s="460">
        <f t="shared" si="4"/>
        <v>0</v>
      </c>
      <c r="AP13" s="145"/>
      <c r="AQ13" s="461">
        <f t="shared" si="5"/>
        <v>0.26154139641358254</v>
      </c>
      <c r="AR13" s="461">
        <f t="shared" si="19"/>
        <v>0.1802111153503751</v>
      </c>
      <c r="AS13" s="461">
        <f t="shared" si="20"/>
        <v>0.20087752766119799</v>
      </c>
      <c r="AT13" s="461">
        <f t="shared" si="21"/>
        <v>0.12844970113188348</v>
      </c>
      <c r="AU13" s="461">
        <f t="shared" si="22"/>
        <v>0.22892025944296066</v>
      </c>
      <c r="AV13" s="462">
        <f t="shared" si="8"/>
        <v>0.99999999999999978</v>
      </c>
      <c r="AW13" s="150"/>
      <c r="AX13" s="81"/>
      <c r="AY13" s="438"/>
      <c r="AZ13" s="439"/>
      <c r="BA13" s="440"/>
      <c r="BB13" s="443"/>
      <c r="BC13" s="74"/>
      <c r="BD13" s="74"/>
      <c r="BE13" s="74"/>
      <c r="BF13" s="104">
        <f t="shared" si="9"/>
        <v>0</v>
      </c>
      <c r="BG13" s="74"/>
      <c r="BH13" s="74"/>
      <c r="BI13" s="74"/>
    </row>
    <row r="14" spans="1:77" ht="32.1" customHeight="1">
      <c r="A14" s="912"/>
      <c r="B14" s="511" t="s">
        <v>905</v>
      </c>
      <c r="C14" s="512" t="s">
        <v>906</v>
      </c>
      <c r="D14" s="519">
        <v>1.5</v>
      </c>
      <c r="E14" s="512" t="s">
        <v>907</v>
      </c>
      <c r="F14" s="519">
        <v>1</v>
      </c>
      <c r="G14" s="513" t="s">
        <v>908</v>
      </c>
      <c r="H14" s="523">
        <v>2</v>
      </c>
      <c r="I14" s="574" t="s">
        <v>909</v>
      </c>
      <c r="J14" s="523">
        <v>1.5</v>
      </c>
      <c r="K14" s="479" t="s">
        <v>910</v>
      </c>
      <c r="L14" s="527">
        <v>1.5</v>
      </c>
      <c r="M14" s="546">
        <f t="shared" ref="M14:M31" si="23">(D14*$AY$3+F14*$AY$9+H14*$AY$14+J14*$AY$15+L14*$AY$16)/5</f>
        <v>1.7017361111111107</v>
      </c>
      <c r="N14" s="578">
        <f>Grönkoefficient!L15</f>
        <v>0</v>
      </c>
      <c r="O14" s="149">
        <f>(D14*$AY$3+F14*$AY$9+H14*$AY$14+J14*$AY$15+L14*$AY$16)/($AY$3+$AY$9+$AY$14+$AY$15+$AY$16)</f>
        <v>1.443168433451119</v>
      </c>
      <c r="V14" s="144"/>
      <c r="W14" s="144"/>
      <c r="AJ14" s="459">
        <f t="shared" si="7"/>
        <v>0</v>
      </c>
      <c r="AK14" s="459">
        <f t="shared" si="0"/>
        <v>0</v>
      </c>
      <c r="AL14" s="459">
        <f t="shared" si="1"/>
        <v>0</v>
      </c>
      <c r="AM14" s="459">
        <f t="shared" si="2"/>
        <v>0</v>
      </c>
      <c r="AN14" s="459">
        <f t="shared" si="3"/>
        <v>0</v>
      </c>
      <c r="AO14" s="460">
        <f t="shared" si="4"/>
        <v>0</v>
      </c>
      <c r="AP14" s="114"/>
      <c r="AQ14" s="461">
        <f t="shared" si="5"/>
        <v>0.27973882881044687</v>
      </c>
      <c r="AR14" s="461">
        <f t="shared" ref="AR14:AR20" si="24">F14*$AY$9/5/M14</f>
        <v>0.17792287288308509</v>
      </c>
      <c r="AS14" s="461">
        <f t="shared" ref="AS14:AS20" si="25">H14*$AY$14/5/M14</f>
        <v>0.19832687206692518</v>
      </c>
      <c r="AT14" s="461">
        <f t="shared" ref="AT14:AT20" si="26">J14*$AY$15/5/M14</f>
        <v>0.12364823505407062</v>
      </c>
      <c r="AU14" s="461">
        <f t="shared" ref="AU14:AU20" si="27">L14*$AY$16/5/M14</f>
        <v>0.2203631911854724</v>
      </c>
      <c r="AV14" s="462">
        <f t="shared" si="8"/>
        <v>1.0000000000000002</v>
      </c>
      <c r="AW14" s="150"/>
      <c r="AX14" s="81" t="s">
        <v>911</v>
      </c>
      <c r="AY14" s="438">
        <v>0.84375</v>
      </c>
      <c r="AZ14" s="444" t="s">
        <v>23</v>
      </c>
      <c r="BA14" s="445">
        <f>AY14/$BA$2</f>
        <v>0.14310954063604242</v>
      </c>
      <c r="BB14" s="443"/>
      <c r="BC14" s="104"/>
      <c r="BD14" s="74"/>
      <c r="BE14" s="74"/>
      <c r="BF14" s="104">
        <f t="shared" si="9"/>
        <v>0</v>
      </c>
      <c r="BG14" s="74"/>
      <c r="BH14" s="74"/>
      <c r="BI14" s="74"/>
    </row>
    <row r="15" spans="1:77" ht="32.1" customHeight="1">
      <c r="A15" s="912"/>
      <c r="B15" s="511" t="s">
        <v>912</v>
      </c>
      <c r="C15" s="512" t="s">
        <v>913</v>
      </c>
      <c r="D15" s="519">
        <v>1</v>
      </c>
      <c r="E15" s="512" t="s">
        <v>914</v>
      </c>
      <c r="F15" s="519">
        <v>1</v>
      </c>
      <c r="G15" s="513" t="s">
        <v>915</v>
      </c>
      <c r="H15" s="523">
        <v>2</v>
      </c>
      <c r="I15" s="479" t="s">
        <v>916</v>
      </c>
      <c r="J15" s="523">
        <v>1.5</v>
      </c>
      <c r="K15" s="479" t="s">
        <v>917</v>
      </c>
      <c r="L15" s="527">
        <v>1</v>
      </c>
      <c r="M15" s="546">
        <f t="shared" si="23"/>
        <v>1.4180555555555554</v>
      </c>
      <c r="N15" s="578">
        <f>Grönkoefficient!L16</f>
        <v>0</v>
      </c>
      <c r="O15" s="149">
        <f>(D15*$AY$3+F15*$AY$9+H15*$AY$14+J15*$AY$15+L15*$AY$16)/($AY$3+$AY$9+$AY$14+$AY$15+$AY$16)</f>
        <v>1.2025912838633688</v>
      </c>
      <c r="V15" s="144"/>
      <c r="W15" s="144"/>
      <c r="AJ15" s="459">
        <f t="shared" si="7"/>
        <v>0</v>
      </c>
      <c r="AK15" s="459">
        <f t="shared" si="0"/>
        <v>0</v>
      </c>
      <c r="AL15" s="459">
        <f t="shared" si="1"/>
        <v>0</v>
      </c>
      <c r="AM15" s="459">
        <f t="shared" si="2"/>
        <v>0</v>
      </c>
      <c r="AN15" s="459">
        <f t="shared" si="3"/>
        <v>0</v>
      </c>
      <c r="AO15" s="460">
        <f t="shared" si="4"/>
        <v>0</v>
      </c>
      <c r="AP15" s="114"/>
      <c r="AQ15" s="461">
        <f t="shared" si="5"/>
        <v>0.22380019588638592</v>
      </c>
      <c r="AR15" s="461">
        <f t="shared" si="24"/>
        <v>0.2135161606268364</v>
      </c>
      <c r="AS15" s="461">
        <f t="shared" si="25"/>
        <v>0.238001958863859</v>
      </c>
      <c r="AT15" s="461">
        <f t="shared" si="26"/>
        <v>0.14838393731635652</v>
      </c>
      <c r="AU15" s="461">
        <f t="shared" si="27"/>
        <v>0.17629774730656222</v>
      </c>
      <c r="AV15" s="462">
        <f t="shared" si="8"/>
        <v>1</v>
      </c>
      <c r="AW15" s="150"/>
      <c r="AX15" s="81" t="s">
        <v>918</v>
      </c>
      <c r="AY15" s="438">
        <v>0.70138888888888884</v>
      </c>
      <c r="AZ15" s="439" t="s">
        <v>20</v>
      </c>
      <c r="BA15" s="445">
        <f>AY15/$BA$2</f>
        <v>0.11896348645465255</v>
      </c>
      <c r="BB15" s="443"/>
      <c r="BC15" s="104"/>
      <c r="BD15" s="74"/>
      <c r="BE15" s="74"/>
      <c r="BF15" s="104">
        <f t="shared" si="9"/>
        <v>0</v>
      </c>
      <c r="BG15" s="74"/>
      <c r="BH15" s="74"/>
      <c r="BI15" s="74"/>
    </row>
    <row r="16" spans="1:77" ht="32.1" customHeight="1">
      <c r="A16" s="912"/>
      <c r="B16" s="511" t="s">
        <v>919</v>
      </c>
      <c r="C16" s="512" t="s">
        <v>920</v>
      </c>
      <c r="D16" s="519">
        <v>1.5</v>
      </c>
      <c r="E16" s="512" t="s">
        <v>921</v>
      </c>
      <c r="F16" s="519">
        <v>1</v>
      </c>
      <c r="G16" s="513" t="s">
        <v>922</v>
      </c>
      <c r="H16" s="523">
        <v>2</v>
      </c>
      <c r="I16" s="479" t="s">
        <v>923</v>
      </c>
      <c r="J16" s="523">
        <v>1</v>
      </c>
      <c r="K16" s="479" t="s">
        <v>924</v>
      </c>
      <c r="L16" s="527">
        <v>1.5</v>
      </c>
      <c r="M16" s="546">
        <f t="shared" si="23"/>
        <v>1.6315972222222221</v>
      </c>
      <c r="N16" s="578">
        <f>Grönkoefficient!L17</f>
        <v>0</v>
      </c>
      <c r="O16" s="149">
        <f>(D16*$AY$3+F16*$AY$9+H16*$AY$14+J16*$AY$15+L16*$AY$16)/($AY$3+$AY$9+$AY$14+$AY$15+$AY$16)</f>
        <v>1.383686690223793</v>
      </c>
      <c r="V16" s="144"/>
      <c r="W16" s="144"/>
      <c r="AJ16" s="459">
        <f t="shared" si="7"/>
        <v>0</v>
      </c>
      <c r="AK16" s="459">
        <f t="shared" si="0"/>
        <v>0</v>
      </c>
      <c r="AL16" s="459">
        <f t="shared" si="1"/>
        <v>0</v>
      </c>
      <c r="AM16" s="459">
        <f t="shared" si="2"/>
        <v>0</v>
      </c>
      <c r="AN16" s="459">
        <f t="shared" si="3"/>
        <v>0</v>
      </c>
      <c r="AO16" s="460">
        <f t="shared" si="4"/>
        <v>0</v>
      </c>
      <c r="AP16" s="114"/>
      <c r="AQ16" s="461">
        <f t="shared" si="5"/>
        <v>0.29176420515003187</v>
      </c>
      <c r="AR16" s="461">
        <f t="shared" si="24"/>
        <v>0.18557139816982332</v>
      </c>
      <c r="AS16" s="461">
        <f t="shared" si="25"/>
        <v>0.20685252181315175</v>
      </c>
      <c r="AT16" s="461">
        <f t="shared" si="26"/>
        <v>8.5975739519046607E-2</v>
      </c>
      <c r="AU16" s="461">
        <f t="shared" si="27"/>
        <v>0.22983613534794639</v>
      </c>
      <c r="AV16" s="462">
        <f t="shared" si="8"/>
        <v>1</v>
      </c>
      <c r="AW16" s="150"/>
      <c r="AX16" s="81" t="s">
        <v>925</v>
      </c>
      <c r="AY16" s="438">
        <v>1.25</v>
      </c>
      <c r="AZ16" s="439" t="s">
        <v>19</v>
      </c>
      <c r="BA16" s="445">
        <f>AY16/$BA$2</f>
        <v>0.21201413427561841</v>
      </c>
      <c r="BB16" s="89">
        <f>SUM(BA3:BA16)</f>
        <v>1</v>
      </c>
      <c r="BC16" s="74"/>
      <c r="BD16" s="74"/>
      <c r="BE16" s="74"/>
      <c r="BF16" s="104">
        <f t="shared" si="9"/>
        <v>0</v>
      </c>
      <c r="BG16" s="74"/>
      <c r="BH16" s="74"/>
      <c r="BI16" s="74"/>
    </row>
    <row r="17" spans="1:61" ht="32.1" customHeight="1">
      <c r="A17" s="912"/>
      <c r="B17" s="511" t="s">
        <v>926</v>
      </c>
      <c r="C17" s="512" t="s">
        <v>291</v>
      </c>
      <c r="D17" s="519">
        <v>2</v>
      </c>
      <c r="E17" s="479" t="s">
        <v>927</v>
      </c>
      <c r="F17" s="519">
        <v>1</v>
      </c>
      <c r="G17" s="513" t="s">
        <v>928</v>
      </c>
      <c r="H17" s="523">
        <v>1.5</v>
      </c>
      <c r="I17" s="479" t="s">
        <v>293</v>
      </c>
      <c r="J17" s="523">
        <v>2</v>
      </c>
      <c r="K17" s="479" t="s">
        <v>929</v>
      </c>
      <c r="L17" s="527">
        <v>1.2</v>
      </c>
      <c r="M17" s="546">
        <f>(D17*$AY$3+F17*$AY$9+H17*$AY$14+J17*$AY$15+L17*$AY$16)/5</f>
        <v>1.7711805555555553</v>
      </c>
      <c r="N17" s="578">
        <f>Grönkoefficient!L18</f>
        <v>0</v>
      </c>
      <c r="O17" s="149">
        <f>(D17*$AY$3+F17*$AY$9+H17*$AY$14+J17*$AY$15+L17*$AY$16)/($AY$3+$AY$9+$AY$14+$AY$15+$AY$16)</f>
        <v>1.5020612485276799</v>
      </c>
      <c r="V17" s="144"/>
      <c r="W17" s="144"/>
      <c r="AJ17" s="459">
        <f t="shared" si="7"/>
        <v>0</v>
      </c>
      <c r="AK17" s="459">
        <f t="shared" si="0"/>
        <v>0</v>
      </c>
      <c r="AL17" s="459">
        <f t="shared" si="1"/>
        <v>0</v>
      </c>
      <c r="AM17" s="459">
        <f t="shared" si="2"/>
        <v>0</v>
      </c>
      <c r="AN17" s="459">
        <f t="shared" si="3"/>
        <v>0</v>
      </c>
      <c r="AO17" s="460">
        <f t="shared" si="4"/>
        <v>0</v>
      </c>
      <c r="AP17" s="114"/>
      <c r="AQ17" s="461">
        <f t="shared" si="5"/>
        <v>0.35836110566555579</v>
      </c>
      <c r="AR17" s="461">
        <f t="shared" si="24"/>
        <v>0.17094687316212506</v>
      </c>
      <c r="AS17" s="461">
        <f t="shared" si="25"/>
        <v>0.14291315428347384</v>
      </c>
      <c r="AT17" s="461">
        <f t="shared" si="26"/>
        <v>0.15840031366398746</v>
      </c>
      <c r="AU17" s="461">
        <f t="shared" si="27"/>
        <v>0.1693785532248579</v>
      </c>
      <c r="AV17" s="462">
        <f t="shared" si="8"/>
        <v>1</v>
      </c>
      <c r="AW17" s="150"/>
      <c r="AX17" s="913" t="s">
        <v>17</v>
      </c>
      <c r="AY17" s="81" t="s">
        <v>930</v>
      </c>
      <c r="AZ17" s="81" t="s">
        <v>931</v>
      </c>
      <c r="BA17" s="81" t="s">
        <v>932</v>
      </c>
      <c r="BB17" s="81" t="s">
        <v>933</v>
      </c>
      <c r="BC17" s="81" t="s">
        <v>934</v>
      </c>
      <c r="BD17" s="81" t="s">
        <v>935</v>
      </c>
      <c r="BE17" s="74"/>
      <c r="BF17" s="104">
        <f t="shared" si="9"/>
        <v>0</v>
      </c>
      <c r="BG17" s="74"/>
      <c r="BH17" s="74"/>
      <c r="BI17" s="74"/>
    </row>
    <row r="18" spans="1:61" ht="32.1" customHeight="1">
      <c r="A18" s="912"/>
      <c r="B18" s="511" t="s">
        <v>321</v>
      </c>
      <c r="C18" s="512" t="s">
        <v>936</v>
      </c>
      <c r="D18" s="519">
        <v>1</v>
      </c>
      <c r="E18" s="479" t="s">
        <v>937</v>
      </c>
      <c r="F18" s="519">
        <v>3</v>
      </c>
      <c r="G18" s="513" t="s">
        <v>938</v>
      </c>
      <c r="H18" s="523">
        <v>1.5</v>
      </c>
      <c r="I18" s="479" t="s">
        <v>939</v>
      </c>
      <c r="J18" s="523">
        <v>2</v>
      </c>
      <c r="K18" s="479" t="s">
        <v>940</v>
      </c>
      <c r="L18" s="527">
        <v>1</v>
      </c>
      <c r="M18" s="546">
        <f t="shared" si="23"/>
        <v>2.0093749999999999</v>
      </c>
      <c r="N18" s="578">
        <f>Grönkoefficient!L19</f>
        <v>0</v>
      </c>
      <c r="O18" s="149">
        <f>(D18*$AY$3+F18*$AY$9+H18*$AY$14+J18*$AY$15+L18*$AY$16)/($AY$3+$AY$9+$AY$14+$AY$15+$AY$16)</f>
        <v>1.704063604240283</v>
      </c>
      <c r="P18" s="115"/>
      <c r="V18" s="144"/>
      <c r="W18" s="144"/>
      <c r="AJ18" s="459">
        <f t="shared" si="7"/>
        <v>0</v>
      </c>
      <c r="AK18" s="459">
        <f t="shared" si="0"/>
        <v>0</v>
      </c>
      <c r="AL18" s="459">
        <f t="shared" si="1"/>
        <v>0</v>
      </c>
      <c r="AM18" s="459">
        <f t="shared" si="2"/>
        <v>0</v>
      </c>
      <c r="AN18" s="459">
        <f t="shared" si="3"/>
        <v>0</v>
      </c>
      <c r="AO18" s="460">
        <f t="shared" si="4"/>
        <v>0</v>
      </c>
      <c r="AP18" s="114"/>
      <c r="AQ18" s="461">
        <f t="shared" si="5"/>
        <v>0.15794021081734924</v>
      </c>
      <c r="AR18" s="461">
        <f t="shared" si="24"/>
        <v>0.45204769310523585</v>
      </c>
      <c r="AS18" s="461">
        <f t="shared" si="25"/>
        <v>0.12597200622083982</v>
      </c>
      <c r="AT18" s="461">
        <f t="shared" si="26"/>
        <v>0.13962329358907899</v>
      </c>
      <c r="AU18" s="461">
        <f t="shared" si="27"/>
        <v>0.12441679626749612</v>
      </c>
      <c r="AV18" s="462">
        <f t="shared" si="8"/>
        <v>1</v>
      </c>
      <c r="AW18" s="150"/>
      <c r="AX18" s="913"/>
      <c r="AY18" s="446">
        <f>SUM(AJ43)/SUM($AO43)</f>
        <v>0.34894375159073554</v>
      </c>
      <c r="AZ18" s="446">
        <f>SUM(AK43)/SUM($AO43)</f>
        <v>0.22193942479002288</v>
      </c>
      <c r="BA18" s="446">
        <f>SUM(AL43)/SUM($AO43)</f>
        <v>0</v>
      </c>
      <c r="BB18" s="446">
        <f>SUM(AM43)/SUM($AO43)</f>
        <v>0.15423771952150675</v>
      </c>
      <c r="BC18" s="446">
        <f>SUM(AN43)/SUM($AO43)</f>
        <v>0.27487910409773481</v>
      </c>
      <c r="BD18" s="446">
        <f>SUM(AY18:BC18)</f>
        <v>1</v>
      </c>
      <c r="BE18" s="74"/>
      <c r="BF18" s="104">
        <f t="shared" si="9"/>
        <v>0</v>
      </c>
      <c r="BG18" s="74"/>
      <c r="BH18" s="74"/>
      <c r="BI18" s="74"/>
    </row>
    <row r="19" spans="1:61" ht="32.1" customHeight="1">
      <c r="A19" s="912"/>
      <c r="B19" s="511" t="s">
        <v>941</v>
      </c>
      <c r="C19" s="512" t="s">
        <v>295</v>
      </c>
      <c r="D19" s="519">
        <v>1.5</v>
      </c>
      <c r="E19" s="479" t="s">
        <v>942</v>
      </c>
      <c r="F19" s="519">
        <v>0.5</v>
      </c>
      <c r="G19" s="513" t="s">
        <v>943</v>
      </c>
      <c r="H19" s="523">
        <v>2</v>
      </c>
      <c r="I19" s="479" t="s">
        <v>944</v>
      </c>
      <c r="J19" s="523">
        <v>2</v>
      </c>
      <c r="K19" s="479" t="s">
        <v>945</v>
      </c>
      <c r="L19" s="527">
        <v>1.5</v>
      </c>
      <c r="M19" s="546">
        <f t="shared" si="23"/>
        <v>1.6204861111111106</v>
      </c>
      <c r="N19" s="578">
        <f>Grönkoefficient!L20</f>
        <v>0</v>
      </c>
      <c r="O19" s="149">
        <f>(D20*$AY$3+F20*$AY$9+H20*$AY$14+J20*$AY$15+L20*$AY$16)/($AY$3+$AY$9+$AY$14+$AY$15+$AY$16)</f>
        <v>0.93433451118963506</v>
      </c>
      <c r="V19" s="144"/>
      <c r="W19" s="144"/>
      <c r="AJ19" s="459">
        <f t="shared" si="7"/>
        <v>0</v>
      </c>
      <c r="AK19" s="459">
        <f t="shared" si="0"/>
        <v>0</v>
      </c>
      <c r="AL19" s="459">
        <f t="shared" si="1"/>
        <v>0</v>
      </c>
      <c r="AM19" s="459">
        <f t="shared" si="2"/>
        <v>0</v>
      </c>
      <c r="AN19" s="459">
        <f t="shared" si="3"/>
        <v>0</v>
      </c>
      <c r="AO19" s="460">
        <f t="shared" si="4"/>
        <v>0</v>
      </c>
      <c r="AP19" s="114"/>
      <c r="AQ19" s="461">
        <f t="shared" si="5"/>
        <v>0.29376473109063644</v>
      </c>
      <c r="AR19" s="461">
        <f t="shared" si="24"/>
        <v>9.3421898435826017E-2</v>
      </c>
      <c r="AS19" s="461">
        <f t="shared" si="25"/>
        <v>0.20827083779730027</v>
      </c>
      <c r="AT19" s="461">
        <f t="shared" si="26"/>
        <v>0.17313049067923725</v>
      </c>
      <c r="AU19" s="461">
        <f t="shared" si="27"/>
        <v>0.23141204199700027</v>
      </c>
      <c r="AV19" s="462">
        <f t="shared" si="8"/>
        <v>1.0000000000000002</v>
      </c>
      <c r="AW19" s="150"/>
      <c r="AX19" s="447" t="s">
        <v>946</v>
      </c>
      <c r="AY19" s="81" t="s">
        <v>121</v>
      </c>
      <c r="AZ19" s="81" t="s">
        <v>122</v>
      </c>
      <c r="BA19" s="81" t="s">
        <v>123</v>
      </c>
      <c r="BB19" s="81" t="s">
        <v>124</v>
      </c>
      <c r="BC19" s="81" t="s">
        <v>125</v>
      </c>
      <c r="BD19" s="81" t="s">
        <v>186</v>
      </c>
      <c r="BE19" s="74"/>
      <c r="BF19" s="104">
        <f t="shared" si="9"/>
        <v>0</v>
      </c>
      <c r="BG19" s="74"/>
      <c r="BH19" s="74"/>
      <c r="BI19" s="74"/>
    </row>
    <row r="20" spans="1:61" ht="32.1" customHeight="1">
      <c r="A20" s="912"/>
      <c r="B20" s="511" t="s">
        <v>947</v>
      </c>
      <c r="C20" s="512" t="s">
        <v>948</v>
      </c>
      <c r="D20" s="519">
        <v>0.5</v>
      </c>
      <c r="E20" s="479" t="s">
        <v>949</v>
      </c>
      <c r="F20" s="519">
        <v>1.5</v>
      </c>
      <c r="G20" s="513" t="s">
        <v>950</v>
      </c>
      <c r="H20" s="523">
        <v>1</v>
      </c>
      <c r="I20" s="479" t="s">
        <v>951</v>
      </c>
      <c r="J20" s="523">
        <v>0.5</v>
      </c>
      <c r="K20" s="479" t="s">
        <v>952</v>
      </c>
      <c r="L20" s="527">
        <v>1</v>
      </c>
      <c r="M20" s="546">
        <f t="shared" si="23"/>
        <v>1.101736111111111</v>
      </c>
      <c r="N20" s="578">
        <f>Grönkoefficient!L21</f>
        <v>0</v>
      </c>
      <c r="O20" s="149">
        <f>(D21*$AY$3+F21*$AY$9+H21*$AY$14+J21*$AY$15+L21*$AY$16)/($AY$3+$AY$9+$AY$14+$AY$15+$AY$16)</f>
        <v>1.33716136631331</v>
      </c>
      <c r="P20" s="114"/>
      <c r="V20" s="144"/>
      <c r="W20" s="144"/>
      <c r="AI20" s="27"/>
      <c r="AJ20" s="459">
        <f t="shared" ref="AJ20" si="28">IF($N20&gt;0,AQ20,0)</f>
        <v>0</v>
      </c>
      <c r="AK20" s="459">
        <f t="shared" ref="AK20" si="29">IF($N20&gt;0,AR20,0)</f>
        <v>0</v>
      </c>
      <c r="AL20" s="459">
        <f t="shared" ref="AL20" si="30">IF($N20&gt;0,AS20,0)</f>
        <v>0</v>
      </c>
      <c r="AM20" s="459">
        <f t="shared" ref="AM20" si="31">IF($N20&gt;0,AT20,0)</f>
        <v>0</v>
      </c>
      <c r="AN20" s="459">
        <f t="shared" ref="AN20" si="32">IF($N20&gt;0,AU20,0)</f>
        <v>0</v>
      </c>
      <c r="AO20" s="460">
        <f t="shared" ref="AO20" si="33">SUM(AJ20:AN20)</f>
        <v>0</v>
      </c>
      <c r="AP20" s="114"/>
      <c r="AQ20" s="461">
        <f t="shared" ref="AQ20" si="34">D20*$AY$3/5/M20</f>
        <v>0.14402773400567287</v>
      </c>
      <c r="AR20" s="461">
        <f t="shared" si="24"/>
        <v>0.41222817522849037</v>
      </c>
      <c r="AS20" s="461">
        <f t="shared" si="25"/>
        <v>0.15316734951150332</v>
      </c>
      <c r="AT20" s="461">
        <f t="shared" si="26"/>
        <v>6.3662149385439654E-2</v>
      </c>
      <c r="AU20" s="461">
        <f t="shared" si="27"/>
        <v>0.22691459186889382</v>
      </c>
      <c r="AV20" s="462">
        <f t="shared" ref="AV20" si="35">SUM(AQ20:AU20)</f>
        <v>1</v>
      </c>
      <c r="AX20" s="448" t="s">
        <v>953</v>
      </c>
      <c r="AY20" s="449">
        <f>SUM(N2:N9)</f>
        <v>0</v>
      </c>
      <c r="AZ20" s="450" t="e">
        <f>AY20/Grönkoefficient!$B$7</f>
        <v>#DIV/0!</v>
      </c>
      <c r="BA20" s="449">
        <f>SUM(BF2:BF9)</f>
        <v>0</v>
      </c>
      <c r="BB20" s="163">
        <f>COUNT(N2:N9)</f>
        <v>8</v>
      </c>
      <c r="BC20" s="450" t="e">
        <f t="shared" ref="BC20:BC25" si="36">BA20/$BA$26</f>
        <v>#DIV/0!</v>
      </c>
      <c r="BD20" s="450" t="e">
        <f>AY20/Grönkoefficient!$B$9</f>
        <v>#DIV/0!</v>
      </c>
      <c r="BE20" s="74"/>
      <c r="BF20" s="104">
        <f t="shared" si="9"/>
        <v>0</v>
      </c>
      <c r="BG20" s="74"/>
      <c r="BH20" s="74"/>
      <c r="BI20" s="74"/>
    </row>
    <row r="21" spans="1:61" ht="32.1" customHeight="1" thickBot="1">
      <c r="A21" s="912"/>
      <c r="B21" s="514" t="s">
        <v>954</v>
      </c>
      <c r="C21" s="575" t="s">
        <v>955</v>
      </c>
      <c r="D21" s="576">
        <v>1.5</v>
      </c>
      <c r="E21" s="482" t="s">
        <v>956</v>
      </c>
      <c r="F21" s="520">
        <v>1</v>
      </c>
      <c r="G21" s="516" t="s">
        <v>100</v>
      </c>
      <c r="H21" s="524">
        <v>2</v>
      </c>
      <c r="I21" s="482" t="s">
        <v>957</v>
      </c>
      <c r="J21" s="524">
        <v>1.5</v>
      </c>
      <c r="K21" s="482" t="s">
        <v>958</v>
      </c>
      <c r="L21" s="528">
        <v>1</v>
      </c>
      <c r="M21" s="547">
        <f t="shared" si="23"/>
        <v>1.5767361111111109</v>
      </c>
      <c r="N21" s="586">
        <f>Grönkoefficient!L22</f>
        <v>0</v>
      </c>
      <c r="O21" s="149">
        <f>(D22*$AY$3+F22*$AY$9+H22*$AY$14+J22*$AY$15+L22*$AY$16)/($AY$3+$AY$9+$AY$14+$AY$15+$AY$16)</f>
        <v>1.0591872791519437</v>
      </c>
      <c r="P21" s="114"/>
      <c r="V21" s="144"/>
      <c r="W21" s="144"/>
      <c r="AI21" s="27"/>
      <c r="AJ21" s="459">
        <f t="shared" ref="AJ21:AJ28" si="37">IF($N21&gt;0,AQ21,0)</f>
        <v>0</v>
      </c>
      <c r="AK21" s="459">
        <f t="shared" ref="AK21:AK28" si="38">IF($N21&gt;0,AR21,0)</f>
        <v>0</v>
      </c>
      <c r="AL21" s="459">
        <f t="shared" ref="AL21:AL28" si="39">IF($N21&gt;0,AS21,0)</f>
        <v>0</v>
      </c>
      <c r="AM21" s="459">
        <f t="shared" ref="AM21:AM28" si="40">IF($N21&gt;0,AT21,0)</f>
        <v>0</v>
      </c>
      <c r="AN21" s="459">
        <f t="shared" ref="AN21:AN28" si="41">IF($N21&gt;0,AU21,0)</f>
        <v>0</v>
      </c>
      <c r="AO21" s="460">
        <f t="shared" ref="AO21:AO28" si="42">SUM(AJ21:AN21)</f>
        <v>0</v>
      </c>
      <c r="AP21" s="114"/>
      <c r="AQ21" s="461">
        <f t="shared" ref="AQ21:AQ28" si="43">D21*$AY$3/5/M21</f>
        <v>0.30191587756000882</v>
      </c>
      <c r="AR21" s="461">
        <f t="shared" ref="AR21:AR28" si="44">F21*$AY$9/5/M21</f>
        <v>0.19202818762387136</v>
      </c>
      <c r="AS21" s="461">
        <f t="shared" ref="AS21:AS28" si="45">H21*$AY$14/5/M21</f>
        <v>0.21404976877339799</v>
      </c>
      <c r="AT21" s="461">
        <f t="shared" ref="AT21:AT28" si="46">J21*$AY$15/5/M21</f>
        <v>0.13345078176613082</v>
      </c>
      <c r="AU21" s="461">
        <f t="shared" ref="AU21:AU28" si="47">L21*$AY$16/5/M21</f>
        <v>0.15855538427659108</v>
      </c>
      <c r="AV21" s="462">
        <f t="shared" ref="AV21:AV28" si="48">SUM(AQ21:AU21)</f>
        <v>1</v>
      </c>
      <c r="AX21" s="451" t="s">
        <v>959</v>
      </c>
      <c r="AY21" s="449">
        <f>SUM(N10:N21)</f>
        <v>0</v>
      </c>
      <c r="AZ21" s="450" t="e">
        <f>AY21/Grönkoefficient!$B$7</f>
        <v>#DIV/0!</v>
      </c>
      <c r="BA21" s="449">
        <f>SUM(BF10:BF21)</f>
        <v>0</v>
      </c>
      <c r="BB21" s="163">
        <f>COUNT(N10:N21)</f>
        <v>12</v>
      </c>
      <c r="BC21" s="450" t="e">
        <f t="shared" si="36"/>
        <v>#DIV/0!</v>
      </c>
      <c r="BD21" s="450" t="e">
        <f>AY21/Grönkoefficient!$B$9</f>
        <v>#DIV/0!</v>
      </c>
      <c r="BE21" s="74"/>
      <c r="BF21" s="104">
        <f t="shared" si="9"/>
        <v>0</v>
      </c>
      <c r="BG21" s="74"/>
      <c r="BH21" s="74"/>
      <c r="BI21" s="74"/>
    </row>
    <row r="22" spans="1:61" ht="32.1" customHeight="1">
      <c r="A22" s="904" t="s">
        <v>960</v>
      </c>
      <c r="B22" s="530" t="s">
        <v>961</v>
      </c>
      <c r="C22" s="483" t="s">
        <v>962</v>
      </c>
      <c r="D22" s="531">
        <v>1.5</v>
      </c>
      <c r="E22" s="532" t="s">
        <v>963</v>
      </c>
      <c r="F22" s="531">
        <v>1</v>
      </c>
      <c r="G22" s="533" t="s">
        <v>964</v>
      </c>
      <c r="H22" s="534">
        <v>2</v>
      </c>
      <c r="I22" s="532" t="s">
        <v>965</v>
      </c>
      <c r="J22" s="534">
        <v>0.5</v>
      </c>
      <c r="K22" s="535" t="s">
        <v>966</v>
      </c>
      <c r="L22" s="542">
        <v>0.25</v>
      </c>
      <c r="M22" s="545">
        <f t="shared" si="23"/>
        <v>1.2489583333333332</v>
      </c>
      <c r="N22" s="539">
        <f>Grönkoefficient!L23</f>
        <v>0</v>
      </c>
      <c r="O22" s="149">
        <f>(D27*$AY$3+F27*$AY$9+H27*$AY$14+J27*$AY$15+L27*$AY$16)/($AY$3+$AY$9+$AY$14+$AY$15+$AY$16)</f>
        <v>0.78468786808009428</v>
      </c>
      <c r="V22" s="144"/>
      <c r="W22" s="144"/>
      <c r="AI22" s="27"/>
      <c r="AJ22" s="459">
        <f t="shared" ref="AJ22:AN25" si="49">IF($N22&gt;0,AQ22,0)</f>
        <v>0</v>
      </c>
      <c r="AK22" s="459">
        <f t="shared" si="49"/>
        <v>0</v>
      </c>
      <c r="AL22" s="459">
        <f t="shared" si="49"/>
        <v>0</v>
      </c>
      <c r="AM22" s="459">
        <f t="shared" si="49"/>
        <v>0</v>
      </c>
      <c r="AN22" s="459">
        <f t="shared" si="49"/>
        <v>0</v>
      </c>
      <c r="AO22" s="460">
        <f>SUM(AJ22:AN22)</f>
        <v>0</v>
      </c>
      <c r="AP22" s="114"/>
      <c r="AQ22" s="461">
        <f>D22*$AY$3/5/M22</f>
        <v>0.38115095913261049</v>
      </c>
      <c r="AR22" s="461">
        <f>F22*$AY$9/5/M22</f>
        <v>0.2424242424242424</v>
      </c>
      <c r="AS22" s="461">
        <f>H22*$AY$14/5/M22</f>
        <v>0.27022518765638037</v>
      </c>
      <c r="AT22" s="461">
        <f>J22*$AY$15/5/M22</f>
        <v>5.6157909368918554E-2</v>
      </c>
      <c r="AU22" s="461">
        <f>L22*$AY$16/5/M22</f>
        <v>5.0041701417848215E-2</v>
      </c>
      <c r="AV22" s="462">
        <f>SUM(AQ22:AU22)</f>
        <v>1</v>
      </c>
      <c r="AX22" s="451" t="s">
        <v>967</v>
      </c>
      <c r="AY22" s="449">
        <f>SUM(N22:N25)</f>
        <v>0</v>
      </c>
      <c r="AZ22" s="450" t="e">
        <f>AY22/Grönkoefficient!$B$7</f>
        <v>#DIV/0!</v>
      </c>
      <c r="BA22" s="449">
        <f>SUM(BF22:BF25)</f>
        <v>0</v>
      </c>
      <c r="BB22" s="163">
        <f>COUNT(N22:N25)</f>
        <v>4</v>
      </c>
      <c r="BC22" s="450" t="e">
        <f t="shared" si="36"/>
        <v>#DIV/0!</v>
      </c>
      <c r="BD22" s="450" t="e">
        <f>AY22/Grönkoefficient!$B$9</f>
        <v>#DIV/0!</v>
      </c>
      <c r="BE22" s="74"/>
      <c r="BF22" s="104">
        <f t="shared" si="9"/>
        <v>0</v>
      </c>
      <c r="BG22" s="74"/>
      <c r="BH22" s="74"/>
      <c r="BI22" s="74"/>
    </row>
    <row r="23" spans="1:61" ht="32.1" customHeight="1">
      <c r="A23" s="905"/>
      <c r="B23" s="511" t="s">
        <v>361</v>
      </c>
      <c r="C23" s="512" t="s">
        <v>968</v>
      </c>
      <c r="D23" s="519">
        <v>1.5</v>
      </c>
      <c r="E23" s="479" t="s">
        <v>969</v>
      </c>
      <c r="F23" s="519">
        <v>1.5</v>
      </c>
      <c r="G23" s="513" t="s">
        <v>970</v>
      </c>
      <c r="H23" s="523">
        <v>2</v>
      </c>
      <c r="I23" s="479" t="s">
        <v>971</v>
      </c>
      <c r="J23" s="523">
        <v>1</v>
      </c>
      <c r="K23" s="536" t="s">
        <v>972</v>
      </c>
      <c r="L23" s="543">
        <v>2.5</v>
      </c>
      <c r="M23" s="546">
        <f t="shared" si="23"/>
        <v>2.0329861111111112</v>
      </c>
      <c r="N23" s="540">
        <f>Grönkoefficient!L24</f>
        <v>0</v>
      </c>
      <c r="O23" s="149">
        <f>(D24*$AY$3+F24*$AY$9+H24*$AY$14+J24*$AY$15+L24*$AY$16)/($AY$3+$AY$9+$AY$14+$AY$15+$AY$16)</f>
        <v>1.418138987043581</v>
      </c>
      <c r="V23" s="144"/>
      <c r="W23" s="144"/>
      <c r="AI23" s="27"/>
      <c r="AJ23" s="459">
        <f t="shared" si="49"/>
        <v>0</v>
      </c>
      <c r="AK23" s="459">
        <f t="shared" si="49"/>
        <v>0</v>
      </c>
      <c r="AL23" s="459">
        <f t="shared" si="49"/>
        <v>0</v>
      </c>
      <c r="AM23" s="459">
        <f t="shared" si="49"/>
        <v>0</v>
      </c>
      <c r="AN23" s="459">
        <f t="shared" si="49"/>
        <v>0</v>
      </c>
      <c r="AO23" s="460">
        <f>SUM(AJ23:AN23)</f>
        <v>0</v>
      </c>
      <c r="AP23" s="114"/>
      <c r="AQ23" s="461">
        <f>D23*$AY$3/5/M23</f>
        <v>0.23415883859948758</v>
      </c>
      <c r="AR23" s="461">
        <f>F23*$AY$9/5/M23</f>
        <v>0.223398804440649</v>
      </c>
      <c r="AS23" s="461">
        <f>H23*$AY$14/5/M23</f>
        <v>0.16601195559350984</v>
      </c>
      <c r="AT23" s="461">
        <f>J23*$AY$15/5/M23</f>
        <v>6.900085397096499E-2</v>
      </c>
      <c r="AU23" s="461">
        <f>L23*$AY$16/5/M23</f>
        <v>0.30742954739538852</v>
      </c>
      <c r="AV23" s="462">
        <f>SUM(AQ23:AU23)</f>
        <v>1</v>
      </c>
      <c r="AW23" s="150"/>
      <c r="AX23" s="451" t="s">
        <v>973</v>
      </c>
      <c r="AY23" s="449">
        <f>SUM(N26:N27)</f>
        <v>0</v>
      </c>
      <c r="AZ23" s="450" t="e">
        <f>AY23/Grönkoefficient!$B$7</f>
        <v>#DIV/0!</v>
      </c>
      <c r="BA23" s="449">
        <f>SUM(BF26:BF27)</f>
        <v>0</v>
      </c>
      <c r="BB23" s="163">
        <f>COUNT(N26:N27)</f>
        <v>2</v>
      </c>
      <c r="BC23" s="450" t="e">
        <f t="shared" si="36"/>
        <v>#DIV/0!</v>
      </c>
      <c r="BD23" s="450" t="e">
        <f>AY23/Grönkoefficient!$B$9</f>
        <v>#DIV/0!</v>
      </c>
      <c r="BE23" s="74"/>
      <c r="BF23" s="104">
        <f t="shared" si="9"/>
        <v>0</v>
      </c>
      <c r="BG23" s="74"/>
      <c r="BH23" s="74"/>
      <c r="BI23" s="74"/>
    </row>
    <row r="24" spans="1:61" ht="32.1" customHeight="1">
      <c r="A24" s="905"/>
      <c r="B24" s="511" t="s">
        <v>362</v>
      </c>
      <c r="C24" s="529" t="s">
        <v>974</v>
      </c>
      <c r="D24" s="518">
        <v>1.5</v>
      </c>
      <c r="E24" s="479" t="s">
        <v>975</v>
      </c>
      <c r="F24" s="519">
        <v>1</v>
      </c>
      <c r="G24" s="513" t="s">
        <v>976</v>
      </c>
      <c r="H24" s="523">
        <v>1.5</v>
      </c>
      <c r="I24" s="479" t="s">
        <v>977</v>
      </c>
      <c r="J24" s="523">
        <v>1</v>
      </c>
      <c r="K24" s="536" t="s">
        <v>978</v>
      </c>
      <c r="L24" s="543">
        <v>2</v>
      </c>
      <c r="M24" s="546">
        <f t="shared" si="23"/>
        <v>1.6722222222222221</v>
      </c>
      <c r="N24" s="540">
        <f>Grönkoefficient!L25</f>
        <v>0</v>
      </c>
      <c r="O24" s="149">
        <f>(D25*$AY$3+F25*$AY$9+H25*$AY$14+J25*$AY$15+L25*$AY$16)/($AY$3+$AY$9+$AY$14+$AY$15+$AY$16)</f>
        <v>1.1775618374558303</v>
      </c>
      <c r="P24" s="115"/>
      <c r="V24" s="144"/>
      <c r="W24" s="144"/>
      <c r="AI24" s="27"/>
      <c r="AJ24" s="459">
        <f t="shared" si="49"/>
        <v>0</v>
      </c>
      <c r="AK24" s="459">
        <f t="shared" si="49"/>
        <v>0</v>
      </c>
      <c r="AL24" s="459">
        <f t="shared" si="49"/>
        <v>0</v>
      </c>
      <c r="AM24" s="459">
        <f t="shared" si="49"/>
        <v>0</v>
      </c>
      <c r="AN24" s="459">
        <f t="shared" si="49"/>
        <v>0</v>
      </c>
      <c r="AO24" s="460">
        <f>SUM(AJ24:AN24)</f>
        <v>0</v>
      </c>
      <c r="AP24" s="114"/>
      <c r="AQ24" s="461">
        <f>D24*$AY$3/5/M24</f>
        <v>0.28467607973421927</v>
      </c>
      <c r="AR24" s="461">
        <f>F24*$AY$9/5/M24</f>
        <v>0.181063122923588</v>
      </c>
      <c r="AS24" s="461">
        <f>H24*$AY$14/5/M24</f>
        <v>0.15137043189368771</v>
      </c>
      <c r="AT24" s="461">
        <f>J24*$AY$15/5/M24</f>
        <v>8.3887043189368779E-2</v>
      </c>
      <c r="AU24" s="461">
        <f>L24*$AY$16/5/M24</f>
        <v>0.29900332225913623</v>
      </c>
      <c r="AV24" s="462">
        <f>SUM(AQ24:AU24)</f>
        <v>1</v>
      </c>
      <c r="AW24" s="150"/>
      <c r="AX24" s="451" t="s">
        <v>979</v>
      </c>
      <c r="AY24" s="449">
        <f>SUM(N28:N34)</f>
        <v>0</v>
      </c>
      <c r="AZ24" s="450" t="e">
        <f>AY24/Grönkoefficient!$B$7</f>
        <v>#DIV/0!</v>
      </c>
      <c r="BA24" s="449">
        <f>SUM(BF28:BF34)</f>
        <v>0</v>
      </c>
      <c r="BB24" s="595">
        <f>COUNTA(N28:N34)+1</f>
        <v>8</v>
      </c>
      <c r="BC24" s="450" t="e">
        <f t="shared" si="36"/>
        <v>#DIV/0!</v>
      </c>
      <c r="BD24" s="450" t="e">
        <f>AY24/Grönkoefficient!$B$9</f>
        <v>#DIV/0!</v>
      </c>
      <c r="BE24" s="74"/>
      <c r="BF24" s="104">
        <f t="shared" ref="BF24:BF25" si="50">IF(AND(N24&gt;0,N24&lt;&gt;"-"),1,0)</f>
        <v>0</v>
      </c>
      <c r="BG24" s="74"/>
      <c r="BH24" s="74"/>
      <c r="BI24" s="74"/>
    </row>
    <row r="25" spans="1:61" ht="32.1" customHeight="1" thickBot="1">
      <c r="A25" s="906"/>
      <c r="B25" s="514" t="s">
        <v>980</v>
      </c>
      <c r="C25" s="515" t="s">
        <v>981</v>
      </c>
      <c r="D25" s="520">
        <v>1</v>
      </c>
      <c r="E25" s="482" t="s">
        <v>982</v>
      </c>
      <c r="F25" s="520">
        <v>1</v>
      </c>
      <c r="G25" s="516" t="s">
        <v>983</v>
      </c>
      <c r="H25" s="524">
        <v>1.5</v>
      </c>
      <c r="I25" s="482" t="s">
        <v>984</v>
      </c>
      <c r="J25" s="524">
        <v>1</v>
      </c>
      <c r="K25" s="537" t="s">
        <v>985</v>
      </c>
      <c r="L25" s="544">
        <v>1.5</v>
      </c>
      <c r="M25" s="547">
        <f t="shared" si="23"/>
        <v>1.3885416666666663</v>
      </c>
      <c r="N25" s="541">
        <f>Grönkoefficient!L26</f>
        <v>0</v>
      </c>
      <c r="O25" s="149">
        <f>(D29*$AY$3+F29*$AY$9+H29*$AY$14+J29*$AY$15+L29*$AY$16)/($AY$3+$AY$9+$AY$14+$AY$15+$AY$16)</f>
        <v>1.8753828032979978</v>
      </c>
      <c r="P25" s="119"/>
      <c r="V25" s="144"/>
      <c r="W25" s="144"/>
      <c r="AJ25" s="459">
        <f t="shared" si="49"/>
        <v>0</v>
      </c>
      <c r="AK25" s="459">
        <f t="shared" si="49"/>
        <v>0</v>
      </c>
      <c r="AL25" s="459">
        <f t="shared" si="49"/>
        <v>0</v>
      </c>
      <c r="AM25" s="459">
        <f t="shared" si="49"/>
        <v>0</v>
      </c>
      <c r="AN25" s="459">
        <f t="shared" si="49"/>
        <v>0</v>
      </c>
      <c r="AO25" s="460">
        <f>SUM(AJ25:AN25)</f>
        <v>0</v>
      </c>
      <c r="AP25" s="114"/>
      <c r="AQ25" s="461">
        <f>D25*$AY$3/5/M25</f>
        <v>0.22855713928482124</v>
      </c>
      <c r="AR25" s="461">
        <f>F25*$AY$9/5/M25</f>
        <v>0.21805451362840711</v>
      </c>
      <c r="AS25" s="461">
        <f>H25*$AY$14/5/M25</f>
        <v>0.18229557389347339</v>
      </c>
      <c r="AT25" s="461">
        <f>J25*$AY$15/5/M25</f>
        <v>0.10102525631407855</v>
      </c>
      <c r="AU25" s="461">
        <f>L25*$AY$16/5/M25</f>
        <v>0.27006751687921987</v>
      </c>
      <c r="AV25" s="462">
        <f>SUM(AQ25:AU25)</f>
        <v>1.0000000000000002</v>
      </c>
      <c r="AW25" s="150"/>
      <c r="AX25" s="451" t="s">
        <v>986</v>
      </c>
      <c r="AY25" s="449">
        <f>SUM(N35:N42)</f>
        <v>0</v>
      </c>
      <c r="AZ25" s="450" t="e">
        <f>AY25/Grönkoefficient!$B$7</f>
        <v>#DIV/0!</v>
      </c>
      <c r="BA25" s="449">
        <f>SUM(BF35:BF42)</f>
        <v>0</v>
      </c>
      <c r="BB25" s="163">
        <f>COUNT(N35:N42)</f>
        <v>8</v>
      </c>
      <c r="BC25" s="450" t="e">
        <f t="shared" si="36"/>
        <v>#DIV/0!</v>
      </c>
      <c r="BD25" s="450" t="e">
        <f>AY25/Grönkoefficient!$B$9</f>
        <v>#DIV/0!</v>
      </c>
      <c r="BE25" s="74"/>
      <c r="BF25" s="104">
        <f t="shared" si="50"/>
        <v>0</v>
      </c>
      <c r="BG25" s="74"/>
      <c r="BH25" s="74"/>
      <c r="BI25" s="74"/>
    </row>
    <row r="26" spans="1:61" ht="32.1" customHeight="1">
      <c r="A26" s="907" t="s">
        <v>987</v>
      </c>
      <c r="B26" s="530" t="s">
        <v>988</v>
      </c>
      <c r="C26" s="483" t="s">
        <v>989</v>
      </c>
      <c r="D26" s="531">
        <v>0.2</v>
      </c>
      <c r="E26" s="532" t="s">
        <v>990</v>
      </c>
      <c r="F26" s="531">
        <v>1</v>
      </c>
      <c r="G26" s="533" t="s">
        <v>991</v>
      </c>
      <c r="H26" s="534">
        <v>1</v>
      </c>
      <c r="I26" s="532" t="s">
        <v>992</v>
      </c>
      <c r="J26" s="534">
        <v>2</v>
      </c>
      <c r="K26" s="565" t="s">
        <v>993</v>
      </c>
      <c r="L26" s="542">
        <v>2</v>
      </c>
      <c r="M26" s="545">
        <f t="shared" si="23"/>
        <v>1.3155555555555556</v>
      </c>
      <c r="N26" s="545">
        <f>Grönkoefficient!L27</f>
        <v>0</v>
      </c>
      <c r="O26" s="149">
        <f>(D28*$AY$3+F28*$AY$9+H28*$AY$14+J28*$AY$15+L28*$AY$16)/($AY$3+$AY$9+$AY$14+$AY$15+$AY$16)</f>
        <v>2.3586572438162547</v>
      </c>
      <c r="P26" s="115"/>
      <c r="V26" s="144"/>
      <c r="W26" s="144"/>
      <c r="AJ26" s="459">
        <f>IF($N26&gt;0,AQ26,0)</f>
        <v>0</v>
      </c>
      <c r="AK26" s="459">
        <f>IF($N26&gt;0,AR26,0)</f>
        <v>0</v>
      </c>
      <c r="AL26" s="459">
        <f>IF($N26&gt;0,AS26,0)</f>
        <v>0</v>
      </c>
      <c r="AM26" s="459">
        <f>IF($N26&gt;0,AT26,0)</f>
        <v>0</v>
      </c>
      <c r="AN26" s="459">
        <f>IF($N26&gt;0,AU26,0)</f>
        <v>0</v>
      </c>
      <c r="AO26" s="460">
        <f>SUM(AJ26:AN26)</f>
        <v>0</v>
      </c>
      <c r="AP26" s="114"/>
      <c r="AQ26" s="461">
        <f>D26*$AY$3/5/M26</f>
        <v>4.8247466216216214E-2</v>
      </c>
      <c r="AR26" s="461">
        <f>F26*$AY$9/5/M26</f>
        <v>0.23015202702702697</v>
      </c>
      <c r="AS26" s="461">
        <f>H26*$AY$14/5/M26</f>
        <v>0.12827280405405406</v>
      </c>
      <c r="AT26" s="461">
        <f>J26*$AY$15/5/M26</f>
        <v>0.21326013513513514</v>
      </c>
      <c r="AU26" s="461">
        <f>L26*$AY$16/5/M26</f>
        <v>0.38006756756756754</v>
      </c>
      <c r="AV26" s="462">
        <f>SUM(AQ26:AU26)</f>
        <v>1</v>
      </c>
      <c r="AW26" s="150"/>
      <c r="AX26" s="74"/>
      <c r="AY26" s="74"/>
      <c r="AZ26" s="452" t="e">
        <f>SUM(AZ20:AZ25)</f>
        <v>#DIV/0!</v>
      </c>
      <c r="BA26" s="453">
        <f>SUM(BA20:BA25)</f>
        <v>0</v>
      </c>
      <c r="BB26" s="92">
        <f>SUM(BB20:BB25)</f>
        <v>42</v>
      </c>
      <c r="BC26" s="452" t="e">
        <f>SUM(BC20:BC25)</f>
        <v>#DIV/0!</v>
      </c>
      <c r="BD26" s="452" t="e">
        <f>SUM(BD20:BD25)</f>
        <v>#DIV/0!</v>
      </c>
      <c r="BE26" s="74"/>
      <c r="BF26" s="104">
        <f t="shared" ref="BF26:BF31" si="51">IF(AND(N26&gt;0,N26&lt;&gt;"-"),1,0)</f>
        <v>0</v>
      </c>
      <c r="BG26" s="74"/>
      <c r="BH26" s="74"/>
      <c r="BI26" s="74"/>
    </row>
    <row r="27" spans="1:61" ht="32.1" customHeight="1" thickBot="1">
      <c r="A27" s="908"/>
      <c r="B27" s="514" t="s">
        <v>279</v>
      </c>
      <c r="C27" s="515" t="s">
        <v>994</v>
      </c>
      <c r="D27" s="520">
        <v>0.2</v>
      </c>
      <c r="E27" s="482" t="s">
        <v>995</v>
      </c>
      <c r="F27" s="520">
        <v>1</v>
      </c>
      <c r="G27" s="516" t="s">
        <v>996</v>
      </c>
      <c r="H27" s="524">
        <v>1</v>
      </c>
      <c r="I27" s="482" t="s">
        <v>997</v>
      </c>
      <c r="J27" s="524">
        <v>1</v>
      </c>
      <c r="K27" s="566" t="s">
        <v>998</v>
      </c>
      <c r="L27" s="544">
        <v>1</v>
      </c>
      <c r="M27" s="547">
        <f t="shared" si="23"/>
        <v>0.92527777777777764</v>
      </c>
      <c r="N27" s="547">
        <f>Grönkoefficient!L28</f>
        <v>0</v>
      </c>
      <c r="O27" s="149">
        <f>(D26*$AY$3+F26*$AY$9+H26*$AY$14+J26*$AY$15+L26*$AY$16)/($AY$3+$AY$9+$AY$14+$AY$15+$AY$16)</f>
        <v>1.1156654888103652</v>
      </c>
      <c r="P27" s="115"/>
      <c r="V27" s="144"/>
      <c r="W27" s="144"/>
      <c r="AJ27" s="459">
        <f t="shared" si="37"/>
        <v>0</v>
      </c>
      <c r="AK27" s="459">
        <f t="shared" si="38"/>
        <v>0</v>
      </c>
      <c r="AL27" s="459">
        <f t="shared" si="39"/>
        <v>0</v>
      </c>
      <c r="AM27" s="459">
        <f t="shared" si="40"/>
        <v>0</v>
      </c>
      <c r="AN27" s="459">
        <f t="shared" si="41"/>
        <v>0</v>
      </c>
      <c r="AO27" s="460">
        <f t="shared" si="42"/>
        <v>0</v>
      </c>
      <c r="AP27" s="114"/>
      <c r="AQ27" s="461">
        <f t="shared" si="43"/>
        <v>6.8598018613029124E-2</v>
      </c>
      <c r="AR27" s="461">
        <f t="shared" si="44"/>
        <v>0.32722906034223953</v>
      </c>
      <c r="AS27" s="461">
        <f t="shared" si="45"/>
        <v>0.18237766436505556</v>
      </c>
      <c r="AT27" s="461">
        <f t="shared" si="46"/>
        <v>0.15160612428700093</v>
      </c>
      <c r="AU27" s="461">
        <f t="shared" si="47"/>
        <v>0.27018913239267489</v>
      </c>
      <c r="AV27" s="462">
        <f t="shared" si="48"/>
        <v>1</v>
      </c>
      <c r="AW27" s="150"/>
      <c r="AX27" s="447" t="s">
        <v>999</v>
      </c>
      <c r="AY27" s="81" t="s">
        <v>1000</v>
      </c>
      <c r="AZ27" s="81" t="s">
        <v>1001</v>
      </c>
      <c r="BA27" s="81" t="s">
        <v>1002</v>
      </c>
      <c r="BB27" s="81" t="s">
        <v>1003</v>
      </c>
      <c r="BC27" s="81" t="s">
        <v>1004</v>
      </c>
      <c r="BD27" s="81" t="s">
        <v>1005</v>
      </c>
      <c r="BE27" s="74"/>
      <c r="BF27" s="104">
        <f t="shared" si="51"/>
        <v>0</v>
      </c>
      <c r="BG27" s="74"/>
      <c r="BH27" s="74"/>
      <c r="BI27" s="74"/>
    </row>
    <row r="28" spans="1:61" ht="32.1" customHeight="1">
      <c r="A28" s="904" t="s">
        <v>1006</v>
      </c>
      <c r="B28" s="504" t="s">
        <v>1007</v>
      </c>
      <c r="C28" s="483" t="s">
        <v>1008</v>
      </c>
      <c r="D28" s="531">
        <v>2.5</v>
      </c>
      <c r="E28" s="532" t="s">
        <v>1009</v>
      </c>
      <c r="F28" s="531">
        <v>2</v>
      </c>
      <c r="G28" s="533" t="s">
        <v>1010</v>
      </c>
      <c r="H28" s="534">
        <v>2.5</v>
      </c>
      <c r="I28" s="532" t="s">
        <v>1011</v>
      </c>
      <c r="J28" s="534">
        <v>1.5</v>
      </c>
      <c r="K28" s="532" t="s">
        <v>305</v>
      </c>
      <c r="L28" s="561">
        <v>3</v>
      </c>
      <c r="M28" s="545">
        <f t="shared" si="23"/>
        <v>2.78125</v>
      </c>
      <c r="N28" s="545">
        <f>Grönkoefficient!L30</f>
        <v>0</v>
      </c>
      <c r="O28" s="149">
        <f>(D23*$AY$3+F23*$AY$9+H23*$AY$14+J23*$AY$15+L23*$AY$16)/($AY$3+$AY$9+$AY$14+$AY$15+$AY$16)</f>
        <v>1.7240871613663136</v>
      </c>
      <c r="P28" s="115"/>
      <c r="V28" s="144"/>
      <c r="W28" s="144"/>
      <c r="AJ28" s="459">
        <f t="shared" si="37"/>
        <v>0</v>
      </c>
      <c r="AK28" s="459">
        <f t="shared" si="38"/>
        <v>0</v>
      </c>
      <c r="AL28" s="459">
        <f t="shared" si="39"/>
        <v>0</v>
      </c>
      <c r="AM28" s="459">
        <f t="shared" si="40"/>
        <v>0</v>
      </c>
      <c r="AN28" s="459">
        <f t="shared" si="41"/>
        <v>0</v>
      </c>
      <c r="AO28" s="460">
        <f t="shared" si="42"/>
        <v>0</v>
      </c>
      <c r="AP28" s="114"/>
      <c r="AQ28" s="461">
        <f t="shared" si="43"/>
        <v>0.2852684144818976</v>
      </c>
      <c r="AR28" s="461">
        <f t="shared" si="44"/>
        <v>0.21772784019975025</v>
      </c>
      <c r="AS28" s="461">
        <f t="shared" si="45"/>
        <v>0.15168539325842698</v>
      </c>
      <c r="AT28" s="461">
        <f t="shared" si="46"/>
        <v>7.5655430711610475E-2</v>
      </c>
      <c r="AU28" s="461">
        <f t="shared" si="47"/>
        <v>0.2696629213483146</v>
      </c>
      <c r="AV28" s="462">
        <f t="shared" si="48"/>
        <v>1</v>
      </c>
      <c r="AW28" s="150"/>
      <c r="AX28" s="448" t="s">
        <v>1012</v>
      </c>
      <c r="AY28" s="454" t="e">
        <f>SUM(AJ2:AJ9)/SUM($AO2:$AO9)</f>
        <v>#DIV/0!</v>
      </c>
      <c r="AZ28" s="454" t="e">
        <f>SUM(AK2:AK9)/SUM($AO2:$AO9)</f>
        <v>#DIV/0!</v>
      </c>
      <c r="BA28" s="454" t="e">
        <f>SUM(AL2:AL9)/SUM($AO2:$AO9)</f>
        <v>#DIV/0!</v>
      </c>
      <c r="BB28" s="454" t="e">
        <f>SUM(AM2:AM9)/SUM($AO2:$AO9)</f>
        <v>#DIV/0!</v>
      </c>
      <c r="BC28" s="454" t="e">
        <f>SUM(AN2:AN9)/SUM($AO2:$AO9)</f>
        <v>#DIV/0!</v>
      </c>
      <c r="BD28" s="454" t="e">
        <f>SUM(AY28:BC28)</f>
        <v>#DIV/0!</v>
      </c>
      <c r="BE28" s="74"/>
      <c r="BF28" s="104">
        <f t="shared" si="51"/>
        <v>0</v>
      </c>
      <c r="BG28" s="258"/>
      <c r="BH28" s="258"/>
      <c r="BI28" s="74"/>
    </row>
    <row r="29" spans="1:61" ht="54" customHeight="1">
      <c r="A29" s="905"/>
      <c r="B29" s="508" t="s">
        <v>1013</v>
      </c>
      <c r="C29" s="529" t="s">
        <v>1014</v>
      </c>
      <c r="D29" s="518">
        <v>2.2000000000000002</v>
      </c>
      <c r="E29" s="563" t="s">
        <v>1015</v>
      </c>
      <c r="F29" s="518">
        <v>1.5</v>
      </c>
      <c r="G29" s="562" t="s">
        <v>1016</v>
      </c>
      <c r="H29" s="522">
        <v>1</v>
      </c>
      <c r="I29" s="563" t="s">
        <v>1017</v>
      </c>
      <c r="J29" s="522">
        <v>1</v>
      </c>
      <c r="K29" s="563" t="s">
        <v>203</v>
      </c>
      <c r="L29" s="526">
        <v>3</v>
      </c>
      <c r="M29" s="578">
        <f t="shared" si="23"/>
        <v>2.2113888888888886</v>
      </c>
      <c r="N29" s="578">
        <f>Grönkoefficient!L31</f>
        <v>0</v>
      </c>
      <c r="O29" s="149">
        <f>(D30*$AY$3+F30*$AY$9+H30*$AY$14+J30*$AY$15+L30*$AY$16)/($AY$3+$AY$9+$AY$14+$AY$15+$AY$16)</f>
        <v>1.3059481743227328</v>
      </c>
      <c r="P29" s="115"/>
      <c r="V29" s="144"/>
      <c r="W29" s="144"/>
      <c r="AJ29" s="459">
        <f t="shared" ref="AJ29:AN31" si="52">IF($N29&gt;0,AQ29,0)</f>
        <v>0</v>
      </c>
      <c r="AK29" s="459">
        <f t="shared" si="52"/>
        <v>0</v>
      </c>
      <c r="AL29" s="459">
        <f t="shared" si="52"/>
        <v>0</v>
      </c>
      <c r="AM29" s="459">
        <f t="shared" si="52"/>
        <v>0</v>
      </c>
      <c r="AN29" s="459">
        <f t="shared" si="52"/>
        <v>0</v>
      </c>
      <c r="AO29" s="460">
        <f t="shared" ref="AO29:AO31" si="53">SUM(AJ29:AN29)</f>
        <v>0</v>
      </c>
      <c r="AP29" s="114"/>
      <c r="AQ29" s="461">
        <f t="shared" ref="AQ29:AQ31" si="54">D29*$AY$3/5/M29</f>
        <v>0.31572666750408246</v>
      </c>
      <c r="AR29" s="461">
        <f t="shared" ref="AR29:AR31" si="55">F29*$AY$9/5/M29</f>
        <v>0.20537620901896747</v>
      </c>
      <c r="AS29" s="461">
        <f t="shared" ref="AS29:AS31" si="56">H29*$AY$14/5/M29</f>
        <v>7.6309508855671407E-2</v>
      </c>
      <c r="AT29" s="461">
        <f t="shared" ref="AT29:AT31" si="57">J29*$AY$15/5/M29</f>
        <v>6.343424192940586E-2</v>
      </c>
      <c r="AU29" s="461">
        <f t="shared" ref="AU29:AU31" si="58">L29*$AY$16/5/M29</f>
        <v>0.3391533726918729</v>
      </c>
      <c r="AV29" s="462">
        <f t="shared" ref="AV29:AV31" si="59">SUM(AQ29:AU29)</f>
        <v>1</v>
      </c>
      <c r="AW29" s="150"/>
      <c r="AX29" s="451" t="s">
        <v>1018</v>
      </c>
      <c r="AY29" s="454" t="e">
        <f>SUM(AJ10:AJ21)/SUM($AO10:$AO21)</f>
        <v>#DIV/0!</v>
      </c>
      <c r="AZ29" s="454" t="e">
        <f>SUM(AK10:AK21)/SUM($AO10:$AO21)</f>
        <v>#DIV/0!</v>
      </c>
      <c r="BA29" s="454" t="e">
        <f>SUM(AL10:AL21)/SUM($AO10:$AO21)</f>
        <v>#DIV/0!</v>
      </c>
      <c r="BB29" s="454" t="e">
        <f>SUM(AM10:AM21)/SUM($AO10:$AO21)</f>
        <v>#DIV/0!</v>
      </c>
      <c r="BC29" s="454" t="e">
        <f>SUM(AN10:AN21)/SUM($AO10:$AO21)</f>
        <v>#DIV/0!</v>
      </c>
      <c r="BD29" s="454" t="e">
        <f t="shared" ref="BD29" si="60">SUM(AY29:BC29)</f>
        <v>#DIV/0!</v>
      </c>
      <c r="BE29" s="74"/>
      <c r="BF29" s="104">
        <f t="shared" si="51"/>
        <v>0</v>
      </c>
      <c r="BG29" s="113"/>
      <c r="BH29" s="113"/>
      <c r="BI29" s="74"/>
    </row>
    <row r="30" spans="1:61" ht="32.1" customHeight="1">
      <c r="A30" s="905"/>
      <c r="B30" s="508" t="s">
        <v>1019</v>
      </c>
      <c r="C30" s="512" t="s">
        <v>1020</v>
      </c>
      <c r="D30" s="519">
        <v>1</v>
      </c>
      <c r="E30" s="479" t="s">
        <v>1021</v>
      </c>
      <c r="F30" s="519">
        <v>1</v>
      </c>
      <c r="G30" s="513" t="s">
        <v>1022</v>
      </c>
      <c r="H30" s="523">
        <v>0.5</v>
      </c>
      <c r="I30" s="479" t="s">
        <v>611</v>
      </c>
      <c r="J30" s="523">
        <v>1.5</v>
      </c>
      <c r="K30" s="479" t="s">
        <v>205</v>
      </c>
      <c r="L30" s="527">
        <v>2.5</v>
      </c>
      <c r="M30" s="546">
        <f>(D30*$AY$3+F30*$AY$9+H30*$AY$14+J30*$AY$15+L30*$AY$16)/5</f>
        <v>1.5399305555555554</v>
      </c>
      <c r="N30" s="546">
        <f>Grönkoefficient!L32</f>
        <v>0</v>
      </c>
      <c r="O30" s="149">
        <f>(D31*$AY$3+F31*$AY$9+H31*$AY$14+J31*$AY$15+L31*$AY$16)/($AY$3+$AY$9+$AY$14+$AY$15+$AY$16)</f>
        <v>2.4095995288574796</v>
      </c>
      <c r="P30" s="115"/>
      <c r="V30" s="144"/>
      <c r="W30" s="144"/>
      <c r="AJ30" s="459">
        <f t="shared" si="52"/>
        <v>0</v>
      </c>
      <c r="AK30" s="459">
        <f t="shared" si="52"/>
        <v>0</v>
      </c>
      <c r="AL30" s="459">
        <f t="shared" si="52"/>
        <v>0</v>
      </c>
      <c r="AM30" s="459">
        <f t="shared" si="52"/>
        <v>0</v>
      </c>
      <c r="AN30" s="459">
        <f t="shared" si="52"/>
        <v>0</v>
      </c>
      <c r="AO30" s="460">
        <f t="shared" si="53"/>
        <v>0</v>
      </c>
      <c r="AP30" s="114"/>
      <c r="AQ30" s="461">
        <f t="shared" si="54"/>
        <v>0.20608793686583993</v>
      </c>
      <c r="AR30" s="461">
        <f t="shared" si="55"/>
        <v>0.19661781285231114</v>
      </c>
      <c r="AS30" s="461">
        <f t="shared" si="56"/>
        <v>5.47914317925592E-2</v>
      </c>
      <c r="AT30" s="461">
        <f t="shared" si="57"/>
        <v>0.13664036076662908</v>
      </c>
      <c r="AU30" s="461">
        <f t="shared" si="58"/>
        <v>0.40586245772266072</v>
      </c>
      <c r="AV30" s="462">
        <f t="shared" si="59"/>
        <v>1</v>
      </c>
      <c r="AW30" s="150"/>
      <c r="AX30" s="451" t="s">
        <v>1023</v>
      </c>
      <c r="AY30" s="454" t="e">
        <f>SUM(AJ22:AJ25)/SUM($AO22:$AO25)</f>
        <v>#DIV/0!</v>
      </c>
      <c r="AZ30" s="454" t="e">
        <f>SUM(AK22:AK25)/SUM($AO22:$AO25)</f>
        <v>#DIV/0!</v>
      </c>
      <c r="BA30" s="454" t="e">
        <f>SUM(AL22:AL25)/SUM($AO22:$AO25)</f>
        <v>#DIV/0!</v>
      </c>
      <c r="BB30" s="454" t="e">
        <f>SUM(AM22:AM25)/SUM($AO22:$AO25)</f>
        <v>#DIV/0!</v>
      </c>
      <c r="BC30" s="454" t="e">
        <f>SUM(AN22:AN25)/SUM($AO22:$AO25)</f>
        <v>#DIV/0!</v>
      </c>
      <c r="BD30" s="454" t="e">
        <f>SUM(AY30:BC30)</f>
        <v>#DIV/0!</v>
      </c>
      <c r="BE30" s="74"/>
      <c r="BF30" s="104">
        <f t="shared" si="51"/>
        <v>0</v>
      </c>
      <c r="BG30" s="74"/>
      <c r="BH30" s="74"/>
      <c r="BI30" s="74"/>
    </row>
    <row r="31" spans="1:61" ht="32.1" customHeight="1">
      <c r="A31" s="905"/>
      <c r="B31" s="508" t="s">
        <v>1024</v>
      </c>
      <c r="C31" s="512" t="s">
        <v>1025</v>
      </c>
      <c r="D31" s="519">
        <v>3</v>
      </c>
      <c r="E31" s="479" t="s">
        <v>1026</v>
      </c>
      <c r="F31" s="519">
        <v>2</v>
      </c>
      <c r="G31" s="513" t="s">
        <v>1027</v>
      </c>
      <c r="H31" s="523">
        <v>1.5</v>
      </c>
      <c r="I31" s="479" t="s">
        <v>1028</v>
      </c>
      <c r="J31" s="523">
        <v>2</v>
      </c>
      <c r="K31" s="479" t="s">
        <v>1029</v>
      </c>
      <c r="L31" s="527">
        <v>3</v>
      </c>
      <c r="M31" s="546">
        <f t="shared" si="23"/>
        <v>2.8413194444444443</v>
      </c>
      <c r="N31" s="546">
        <f>Grönkoefficient!L33</f>
        <v>0</v>
      </c>
      <c r="O31" s="149" t="e">
        <f>(#REF!*$AY$3+#REF!*$AY$9+#REF!*$AY$14+#REF!*$AY$15+#REF!*$AY$16)/($AY$3+$AY$9+$AY$14+$AY$15+$AY$16)</f>
        <v>#REF!</v>
      </c>
      <c r="P31" s="115"/>
      <c r="V31" s="144"/>
      <c r="W31" s="144"/>
      <c r="AJ31" s="459">
        <f t="shared" si="52"/>
        <v>0</v>
      </c>
      <c r="AK31" s="459">
        <f t="shared" si="52"/>
        <v>0</v>
      </c>
      <c r="AL31" s="459">
        <f t="shared" si="52"/>
        <v>0</v>
      </c>
      <c r="AM31" s="459">
        <f t="shared" si="52"/>
        <v>0</v>
      </c>
      <c r="AN31" s="459">
        <f t="shared" si="52"/>
        <v>0</v>
      </c>
      <c r="AO31" s="460">
        <f t="shared" si="53"/>
        <v>0</v>
      </c>
      <c r="AP31" s="114"/>
      <c r="AQ31" s="461">
        <f t="shared" si="54"/>
        <v>0.33508493217646335</v>
      </c>
      <c r="AR31" s="461">
        <f t="shared" si="55"/>
        <v>0.21312477086643036</v>
      </c>
      <c r="AS31" s="461">
        <f t="shared" si="56"/>
        <v>8.9087131858731516E-2</v>
      </c>
      <c r="AT31" s="461">
        <f t="shared" si="57"/>
        <v>9.8741292924355378E-2</v>
      </c>
      <c r="AU31" s="461">
        <f t="shared" si="58"/>
        <v>0.26396187217401934</v>
      </c>
      <c r="AV31" s="462">
        <f t="shared" si="59"/>
        <v>1</v>
      </c>
      <c r="AW31" s="150"/>
      <c r="AX31" s="451" t="s">
        <v>1030</v>
      </c>
      <c r="AY31" s="454" t="e">
        <f>SUM(AJ26:AJ27)/SUM($AO26:$AO27)</f>
        <v>#DIV/0!</v>
      </c>
      <c r="AZ31" s="454" t="e">
        <f>SUM(AK26:AK27)/SUM($AO26:$AO27)</f>
        <v>#DIV/0!</v>
      </c>
      <c r="BA31" s="454" t="e">
        <f>SUM(AL26:AL27)/SUM($AO26:$AO27)</f>
        <v>#DIV/0!</v>
      </c>
      <c r="BB31" s="454" t="e">
        <f>SUM(AM26:AM27)/SUM($AO26:$AO27)</f>
        <v>#DIV/0!</v>
      </c>
      <c r="BC31" s="454" t="e">
        <f>SUM(AN26:AN27)/SUM($AO26:$AO27)</f>
        <v>#DIV/0!</v>
      </c>
      <c r="BD31" s="454" t="e">
        <f>SUM(AY31:BC31)</f>
        <v>#DIV/0!</v>
      </c>
      <c r="BE31" s="455"/>
      <c r="BF31" s="104">
        <f t="shared" si="51"/>
        <v>0</v>
      </c>
      <c r="BG31" s="74"/>
      <c r="BH31" s="74"/>
      <c r="BI31" s="74"/>
    </row>
    <row r="32" spans="1:61" ht="32.1" customHeight="1">
      <c r="A32" s="905"/>
      <c r="B32" s="508" t="s">
        <v>214</v>
      </c>
      <c r="C32" s="529" t="s">
        <v>1031</v>
      </c>
      <c r="D32" s="518">
        <v>2</v>
      </c>
      <c r="E32" s="479" t="s">
        <v>1032</v>
      </c>
      <c r="F32" s="522">
        <v>2</v>
      </c>
      <c r="G32" s="562" t="s">
        <v>1033</v>
      </c>
      <c r="H32" s="522">
        <v>1.5</v>
      </c>
      <c r="I32" s="563" t="s">
        <v>1034</v>
      </c>
      <c r="J32" s="523">
        <v>1.2</v>
      </c>
      <c r="K32" s="479" t="s">
        <v>1035</v>
      </c>
      <c r="L32" s="527">
        <v>3</v>
      </c>
      <c r="M32" s="546">
        <f t="shared" ref="M32:M42" si="61">(D32*$AY$3+F32*$AY$9+H32*$AY$14+J32*$AY$15+L32*$AY$16)/5</f>
        <v>2.4117361111111109</v>
      </c>
      <c r="N32" s="546">
        <f>Grönkoefficient!L34</f>
        <v>0</v>
      </c>
      <c r="O32" s="149">
        <f>(D34*$AY$3+F34*$AY$9+H34*$AY$14+J34*$AY$15+L34*$AY$16)/($AY$3+$AY$9+$AY$14+$AY$15+$AY$16)</f>
        <v>1.1569493521790342</v>
      </c>
      <c r="V32" s="144"/>
      <c r="W32" s="144"/>
      <c r="AJ32" s="459">
        <f t="shared" ref="AJ32:AJ42" si="62">IF($N32&gt;0,AQ32,0)</f>
        <v>0</v>
      </c>
      <c r="AK32" s="459">
        <f t="shared" ref="AK32:AK42" si="63">IF($N32&gt;0,AR32,0)</f>
        <v>0</v>
      </c>
      <c r="AL32" s="459">
        <f t="shared" ref="AL32:AL42" si="64">IF($N32&gt;0,AS32,0)</f>
        <v>0</v>
      </c>
      <c r="AM32" s="459">
        <f t="shared" ref="AM32:AM42" si="65">IF($N32&gt;0,AT32,0)</f>
        <v>0</v>
      </c>
      <c r="AN32" s="459">
        <f t="shared" ref="AN32:AN42" si="66">IF($N32&gt;0,AU32,0)</f>
        <v>0</v>
      </c>
      <c r="AO32" s="460">
        <f t="shared" ref="AO32:AO40" si="67">SUM(AJ32:AN32)</f>
        <v>0</v>
      </c>
      <c r="AP32" s="114"/>
      <c r="AQ32" s="461">
        <f t="shared" ref="AQ32:AQ42" si="68">D32*$AY$3/5/M32</f>
        <v>0.26318062714158197</v>
      </c>
      <c r="AR32" s="461">
        <f t="shared" ref="AR32:AR42" si="69">F32*$AY$9/5/M32</f>
        <v>0.25108698781997751</v>
      </c>
      <c r="AS32" s="461">
        <f t="shared" ref="AS32:AS42" si="70">H32*$AY$14/5/M32</f>
        <v>0.1049555126839241</v>
      </c>
      <c r="AT32" s="461">
        <f t="shared" ref="AT32:AT42" si="71">J32*$AY$15/5/M32</f>
        <v>6.979757551325981E-2</v>
      </c>
      <c r="AU32" s="461">
        <f t="shared" ref="AU32:AU42" si="72">L32*$AY$16/5/M32</f>
        <v>0.31097929684125664</v>
      </c>
      <c r="AV32" s="462">
        <f t="shared" ref="AV32:AV42" si="73">SUM(AQ32:AU32)</f>
        <v>1</v>
      </c>
      <c r="AW32" s="150"/>
      <c r="AX32" s="451" t="s">
        <v>1036</v>
      </c>
      <c r="AY32" s="454">
        <f>SUM(AJ28:AJ34)/SUM($AO28:$AO34)</f>
        <v>0.34894375159073554</v>
      </c>
      <c r="AZ32" s="454">
        <f>SUM(AK28:AK34)/SUM($AO28:$AO34)</f>
        <v>0.22193942479002288</v>
      </c>
      <c r="BA32" s="454">
        <f>SUM(AL28:AL34)/SUM($AO28:$AO34)</f>
        <v>0</v>
      </c>
      <c r="BB32" s="454">
        <f>SUM(AM28:AM34)/SUM($AO28:$AO34)</f>
        <v>0.15423771952150675</v>
      </c>
      <c r="BC32" s="454">
        <f>SUM(AN28:AN34)/SUM($AO28:$AO34)</f>
        <v>0.27487910409773481</v>
      </c>
      <c r="BD32" s="454">
        <f>SUM(AY32:BC32)</f>
        <v>1</v>
      </c>
      <c r="BE32" s="455"/>
      <c r="BF32" s="104">
        <f t="shared" ref="BF32:BF40" si="74">IF(AND(N32&gt;0,N32&lt;&gt;"-"),1,0)</f>
        <v>0</v>
      </c>
      <c r="BG32" s="74"/>
      <c r="BH32" s="74"/>
      <c r="BI32" s="74"/>
    </row>
    <row r="33" spans="1:77" ht="32.1" customHeight="1">
      <c r="A33" s="905"/>
      <c r="B33" s="508" t="s">
        <v>1037</v>
      </c>
      <c r="C33" s="512" t="s">
        <v>1038</v>
      </c>
      <c r="D33" s="519">
        <v>2</v>
      </c>
      <c r="E33" s="479" t="s">
        <v>1039</v>
      </c>
      <c r="F33" s="519">
        <v>1.5</v>
      </c>
      <c r="G33" s="513" t="s">
        <v>1040</v>
      </c>
      <c r="H33" s="523">
        <v>0</v>
      </c>
      <c r="I33" s="479" t="s">
        <v>1041</v>
      </c>
      <c r="J33" s="523">
        <v>1</v>
      </c>
      <c r="K33" s="479" t="s">
        <v>1042</v>
      </c>
      <c r="L33" s="527">
        <v>1.5</v>
      </c>
      <c r="M33" s="546">
        <f t="shared" si="61"/>
        <v>1.6041666666666665</v>
      </c>
      <c r="N33" s="546">
        <f>Grönkoefficient!L35</f>
        <v>0</v>
      </c>
      <c r="O33" s="149">
        <f>(D35*$AY$3+F35*$AY$9+H35*$AY$14+J35*$AY$15+L35*$AY$16)/($AY$3+$AY$9+$AY$14+$AY$15+$AY$16)</f>
        <v>0.56301531213191991</v>
      </c>
      <c r="P33" s="115"/>
      <c r="V33" s="144"/>
      <c r="W33" s="144"/>
      <c r="AJ33" s="459">
        <f t="shared" si="62"/>
        <v>0</v>
      </c>
      <c r="AK33" s="459">
        <f t="shared" si="63"/>
        <v>0</v>
      </c>
      <c r="AL33" s="459">
        <f t="shared" si="64"/>
        <v>0</v>
      </c>
      <c r="AM33" s="459">
        <f t="shared" si="65"/>
        <v>0</v>
      </c>
      <c r="AN33" s="459">
        <f t="shared" si="66"/>
        <v>0</v>
      </c>
      <c r="AO33" s="460">
        <f t="shared" si="67"/>
        <v>0</v>
      </c>
      <c r="AP33" s="114"/>
      <c r="AQ33" s="461">
        <f t="shared" si="68"/>
        <v>0.39567099567099567</v>
      </c>
      <c r="AR33" s="461">
        <f t="shared" si="69"/>
        <v>0.2831168831168831</v>
      </c>
      <c r="AS33" s="461">
        <f t="shared" si="70"/>
        <v>0</v>
      </c>
      <c r="AT33" s="461">
        <f t="shared" si="71"/>
        <v>8.7445887445887452E-2</v>
      </c>
      <c r="AU33" s="461">
        <f t="shared" si="72"/>
        <v>0.23376623376623379</v>
      </c>
      <c r="AV33" s="462">
        <f t="shared" si="73"/>
        <v>1</v>
      </c>
      <c r="AW33" s="150"/>
      <c r="AX33" s="451" t="s">
        <v>1043</v>
      </c>
      <c r="AY33" s="596" t="e">
        <f>SUM(AJ35:AJ42)/SUM($AO35:$AO42)</f>
        <v>#DIV/0!</v>
      </c>
      <c r="AZ33" s="454" t="e">
        <f>SUM(AK35:AK40)/SUM($AO35:$AO40)</f>
        <v>#DIV/0!</v>
      </c>
      <c r="BA33" s="454" t="e">
        <f>SUM(AL35:AL40)/SUM($AO35:$AO40)</f>
        <v>#DIV/0!</v>
      </c>
      <c r="BB33" s="454" t="e">
        <f>SUM(AM35:AM40)/SUM($AO35:$AO40)</f>
        <v>#DIV/0!</v>
      </c>
      <c r="BC33" s="454" t="e">
        <f>SUM(AN35:AN40)/SUM($AO35:$AO40)</f>
        <v>#DIV/0!</v>
      </c>
      <c r="BD33" s="454" t="e">
        <f>SUM(AY33:BC33)</f>
        <v>#DIV/0!</v>
      </c>
      <c r="BE33" s="455"/>
      <c r="BF33" s="104">
        <f t="shared" si="74"/>
        <v>0</v>
      </c>
      <c r="BG33" s="74"/>
      <c r="BH33" s="74"/>
      <c r="BI33" s="74"/>
    </row>
    <row r="34" spans="1:77" ht="32.1" customHeight="1" thickBot="1">
      <c r="A34" s="906"/>
      <c r="B34" s="589" t="s">
        <v>1044</v>
      </c>
      <c r="C34" s="515" t="s">
        <v>1045</v>
      </c>
      <c r="D34" s="520">
        <v>1.5</v>
      </c>
      <c r="E34" s="482" t="s">
        <v>1046</v>
      </c>
      <c r="F34" s="524">
        <v>1</v>
      </c>
      <c r="G34" s="516" t="s">
        <v>1047</v>
      </c>
      <c r="H34" s="524">
        <v>0</v>
      </c>
      <c r="I34" s="482" t="s">
        <v>1048</v>
      </c>
      <c r="J34" s="524">
        <v>1.5</v>
      </c>
      <c r="K34" s="482" t="s">
        <v>1049</v>
      </c>
      <c r="L34" s="528">
        <v>1.5</v>
      </c>
      <c r="M34" s="547">
        <f t="shared" si="61"/>
        <v>1.364236111111111</v>
      </c>
      <c r="N34" s="546" t="str">
        <f>Grönkoefficient!L36</f>
        <v>-</v>
      </c>
      <c r="P34" s="115"/>
      <c r="AJ34" s="459">
        <f t="shared" si="62"/>
        <v>0.34894375159073554</v>
      </c>
      <c r="AK34" s="459">
        <f t="shared" si="63"/>
        <v>0.22193942479002288</v>
      </c>
      <c r="AL34" s="459">
        <f t="shared" si="64"/>
        <v>0</v>
      </c>
      <c r="AM34" s="459">
        <f t="shared" si="65"/>
        <v>0.15423771952150675</v>
      </c>
      <c r="AN34" s="459">
        <f t="shared" si="66"/>
        <v>0.27487910409773481</v>
      </c>
      <c r="AO34" s="460">
        <f t="shared" si="67"/>
        <v>1</v>
      </c>
      <c r="AP34" s="114"/>
      <c r="AQ34" s="461">
        <f t="shared" si="68"/>
        <v>0.34894375159073554</v>
      </c>
      <c r="AR34" s="461">
        <f t="shared" si="69"/>
        <v>0.22193942479002288</v>
      </c>
      <c r="AS34" s="461">
        <f t="shared" si="70"/>
        <v>0</v>
      </c>
      <c r="AT34" s="461">
        <f t="shared" si="71"/>
        <v>0.15423771952150675</v>
      </c>
      <c r="AU34" s="461">
        <f t="shared" si="72"/>
        <v>0.27487910409773481</v>
      </c>
      <c r="AV34" s="462">
        <f t="shared" si="73"/>
        <v>1</v>
      </c>
      <c r="AW34" s="150"/>
      <c r="AX34" s="451"/>
      <c r="AY34" s="456"/>
      <c r="AZ34" s="456"/>
      <c r="BA34" s="456"/>
      <c r="BB34" s="456"/>
      <c r="BC34" s="454"/>
      <c r="BD34" s="74"/>
      <c r="BE34" s="455"/>
      <c r="BF34" s="104">
        <f t="shared" si="74"/>
        <v>0</v>
      </c>
      <c r="BG34" s="74"/>
      <c r="BH34" s="74"/>
      <c r="BI34" s="74"/>
    </row>
    <row r="35" spans="1:77" ht="32.1" customHeight="1">
      <c r="A35" s="591" t="s">
        <v>51</v>
      </c>
      <c r="B35" s="548" t="s">
        <v>1050</v>
      </c>
      <c r="C35" s="483" t="s">
        <v>1051</v>
      </c>
      <c r="D35" s="531">
        <v>1</v>
      </c>
      <c r="E35" s="532" t="s">
        <v>1052</v>
      </c>
      <c r="F35" s="534">
        <v>0.5</v>
      </c>
      <c r="G35" s="533" t="s">
        <v>1053</v>
      </c>
      <c r="H35" s="534">
        <v>0</v>
      </c>
      <c r="I35" s="532" t="s">
        <v>1054</v>
      </c>
      <c r="J35" s="534">
        <v>0.5</v>
      </c>
      <c r="K35" s="535" t="s">
        <v>1055</v>
      </c>
      <c r="L35" s="542">
        <v>0.5</v>
      </c>
      <c r="M35" s="545">
        <f t="shared" si="61"/>
        <v>0.66388888888888875</v>
      </c>
      <c r="N35" s="539">
        <f>Grönkoefficient!L37</f>
        <v>0</v>
      </c>
      <c r="O35" s="149">
        <f>(D32*$AY$3+F32*$AY$9+H32*$AY$14+J32*$AY$15+L32*$AY$16)/($AY$3+$AY$9+$AY$14+$AY$15+$AY$16)</f>
        <v>2.0452885747938754</v>
      </c>
      <c r="P35" s="115"/>
      <c r="V35" s="144"/>
      <c r="W35" s="144"/>
      <c r="AJ35" s="459">
        <f t="shared" si="62"/>
        <v>0</v>
      </c>
      <c r="AK35" s="459">
        <f t="shared" si="63"/>
        <v>0</v>
      </c>
      <c r="AL35" s="459">
        <f t="shared" si="64"/>
        <v>0</v>
      </c>
      <c r="AM35" s="459">
        <f t="shared" si="65"/>
        <v>0</v>
      </c>
      <c r="AN35" s="459">
        <f t="shared" si="66"/>
        <v>0</v>
      </c>
      <c r="AO35" s="460">
        <f t="shared" si="67"/>
        <v>0</v>
      </c>
      <c r="AP35" s="114"/>
      <c r="AQ35" s="461">
        <f t="shared" si="68"/>
        <v>0.47803347280334735</v>
      </c>
      <c r="AR35" s="461">
        <f t="shared" si="69"/>
        <v>0.22803347280334726</v>
      </c>
      <c r="AS35" s="461">
        <f t="shared" si="70"/>
        <v>0</v>
      </c>
      <c r="AT35" s="461">
        <f t="shared" si="71"/>
        <v>0.10564853556485358</v>
      </c>
      <c r="AU35" s="461">
        <f t="shared" si="72"/>
        <v>0.18828451882845193</v>
      </c>
      <c r="AV35" s="462">
        <f t="shared" si="73"/>
        <v>1</v>
      </c>
      <c r="AW35" s="150"/>
      <c r="AX35" s="74"/>
      <c r="AY35" s="74"/>
      <c r="AZ35" s="74"/>
      <c r="BA35" s="74"/>
      <c r="BB35" s="74"/>
      <c r="BC35" s="74"/>
      <c r="BD35" s="74"/>
      <c r="BE35" s="74"/>
      <c r="BF35" s="104">
        <f t="shared" si="74"/>
        <v>0</v>
      </c>
      <c r="BG35" s="74"/>
      <c r="BH35" s="74"/>
      <c r="BI35" s="74"/>
    </row>
    <row r="36" spans="1:77" s="155" customFormat="1" ht="32.1" customHeight="1">
      <c r="A36" s="592"/>
      <c r="B36" s="549" t="s">
        <v>1056</v>
      </c>
      <c r="C36" s="512" t="s">
        <v>1057</v>
      </c>
      <c r="D36" s="519">
        <v>1</v>
      </c>
      <c r="E36" s="479" t="s">
        <v>1058</v>
      </c>
      <c r="F36" s="523">
        <v>0.5</v>
      </c>
      <c r="G36" s="513" t="s">
        <v>1059</v>
      </c>
      <c r="H36" s="523">
        <v>1</v>
      </c>
      <c r="I36" s="479" t="s">
        <v>1060</v>
      </c>
      <c r="J36" s="523">
        <v>0.5</v>
      </c>
      <c r="K36" s="536" t="s">
        <v>1061</v>
      </c>
      <c r="L36" s="543">
        <v>0.5</v>
      </c>
      <c r="M36" s="546">
        <f t="shared" si="61"/>
        <v>0.83263888888888871</v>
      </c>
      <c r="N36" s="540">
        <f>Grönkoefficient!L38</f>
        <v>0</v>
      </c>
      <c r="O36" s="149">
        <f>(D36*$AY$3+F36*$AY$9+H36*$AY$14+J36*$AY$15+L36*$AY$16)/($AY$3+$AY$9+$AY$14+$AY$15+$AY$16)</f>
        <v>0.70612485276796233</v>
      </c>
      <c r="P36" s="154"/>
      <c r="Q36" s="36"/>
      <c r="R36" s="36"/>
      <c r="S36" s="36"/>
      <c r="T36" s="36"/>
      <c r="U36" s="36"/>
      <c r="V36" s="144"/>
      <c r="W36" s="144"/>
      <c r="X36" s="36"/>
      <c r="Y36" s="36"/>
      <c r="Z36" s="20"/>
      <c r="AA36" s="20"/>
      <c r="AB36" s="20"/>
      <c r="AC36" s="20"/>
      <c r="AD36" s="20"/>
      <c r="AE36" s="20"/>
      <c r="AF36" s="20"/>
      <c r="AG36" s="20"/>
      <c r="AH36" s="20"/>
      <c r="AI36" s="20"/>
      <c r="AJ36" s="459">
        <f t="shared" si="62"/>
        <v>0</v>
      </c>
      <c r="AK36" s="459">
        <f t="shared" si="63"/>
        <v>0</v>
      </c>
      <c r="AL36" s="459">
        <f t="shared" si="64"/>
        <v>0</v>
      </c>
      <c r="AM36" s="459">
        <f t="shared" si="65"/>
        <v>0</v>
      </c>
      <c r="AN36" s="459">
        <f t="shared" si="66"/>
        <v>0</v>
      </c>
      <c r="AO36" s="460">
        <f t="shared" si="67"/>
        <v>0</v>
      </c>
      <c r="AP36" s="114"/>
      <c r="AQ36" s="461">
        <f t="shared" si="68"/>
        <v>0.38115095913261055</v>
      </c>
      <c r="AR36" s="461">
        <f t="shared" si="69"/>
        <v>0.18181818181818182</v>
      </c>
      <c r="AS36" s="461">
        <f t="shared" si="70"/>
        <v>0.20266889074228531</v>
      </c>
      <c r="AT36" s="461">
        <f t="shared" si="71"/>
        <v>8.4236864053377838E-2</v>
      </c>
      <c r="AU36" s="461">
        <f t="shared" si="72"/>
        <v>0.15012510425354467</v>
      </c>
      <c r="AV36" s="462">
        <f t="shared" si="73"/>
        <v>1.0000000000000002</v>
      </c>
      <c r="AW36" s="150"/>
      <c r="AX36" s="74"/>
      <c r="AY36" s="74"/>
      <c r="AZ36" s="74"/>
      <c r="BA36" s="74"/>
      <c r="BB36" s="74"/>
      <c r="BC36" s="74"/>
      <c r="BD36" s="74"/>
      <c r="BE36" s="74"/>
      <c r="BF36" s="104">
        <f t="shared" si="74"/>
        <v>0</v>
      </c>
      <c r="BG36" s="131"/>
      <c r="BH36" s="131"/>
      <c r="BI36" s="131"/>
    </row>
    <row r="37" spans="1:77" s="155" customFormat="1" ht="32.1" customHeight="1">
      <c r="A37" s="592"/>
      <c r="B37" s="511" t="s">
        <v>1062</v>
      </c>
      <c r="C37" s="512" t="s">
        <v>1063</v>
      </c>
      <c r="D37" s="519">
        <v>0.5</v>
      </c>
      <c r="E37" s="479" t="s">
        <v>1064</v>
      </c>
      <c r="F37" s="523">
        <v>1</v>
      </c>
      <c r="G37" s="513" t="s">
        <v>1065</v>
      </c>
      <c r="H37" s="523">
        <v>1</v>
      </c>
      <c r="I37" s="479" t="s">
        <v>1066</v>
      </c>
      <c r="J37" s="523">
        <v>1</v>
      </c>
      <c r="K37" s="557" t="s">
        <v>1067</v>
      </c>
      <c r="L37" s="543">
        <v>0.5</v>
      </c>
      <c r="M37" s="546">
        <f t="shared" si="61"/>
        <v>0.89548611111111109</v>
      </c>
      <c r="N37" s="540">
        <f>Grönkoefficient!L39</f>
        <v>0</v>
      </c>
      <c r="O37" s="157" t="e">
        <f>(#REF!*$AY$3+#REF!*$AY$9+#REF!*$AY$14+#REF!*$AY$15+#REF!*$AY$16)/($AY$3+$AY$9+$AY$14+$AY$15+$AY$16)</f>
        <v>#REF!</v>
      </c>
      <c r="P37" s="154"/>
      <c r="V37" s="144"/>
      <c r="W37" s="144"/>
      <c r="AJ37" s="459">
        <f t="shared" si="62"/>
        <v>0</v>
      </c>
      <c r="AK37" s="459">
        <f t="shared" si="63"/>
        <v>0</v>
      </c>
      <c r="AL37" s="459">
        <f t="shared" si="64"/>
        <v>0</v>
      </c>
      <c r="AM37" s="459">
        <f t="shared" si="65"/>
        <v>0</v>
      </c>
      <c r="AN37" s="459">
        <f t="shared" si="66"/>
        <v>0</v>
      </c>
      <c r="AO37" s="460">
        <f t="shared" si="67"/>
        <v>0</v>
      </c>
      <c r="AP37" s="114"/>
      <c r="AQ37" s="461">
        <f t="shared" si="68"/>
        <v>0.17720046529662659</v>
      </c>
      <c r="AR37" s="461">
        <f t="shared" si="69"/>
        <v>0.33811554866227211</v>
      </c>
      <c r="AS37" s="461">
        <f t="shared" si="70"/>
        <v>0.18844513377278016</v>
      </c>
      <c r="AT37" s="461">
        <f t="shared" si="71"/>
        <v>0.1566498642884839</v>
      </c>
      <c r="AU37" s="461">
        <f t="shared" si="72"/>
        <v>0.13958898797983715</v>
      </c>
      <c r="AV37" s="462">
        <f t="shared" si="73"/>
        <v>1</v>
      </c>
      <c r="AW37" s="150"/>
      <c r="AX37" s="131"/>
      <c r="AY37" s="131"/>
      <c r="AZ37" s="131"/>
      <c r="BA37" s="131"/>
      <c r="BB37" s="131"/>
      <c r="BC37" s="131"/>
      <c r="BD37" s="131"/>
      <c r="BE37" s="131"/>
      <c r="BF37" s="104">
        <f t="shared" si="74"/>
        <v>0</v>
      </c>
      <c r="BG37" s="131"/>
      <c r="BH37" s="131"/>
      <c r="BI37" s="131"/>
    </row>
    <row r="38" spans="1:77" s="155" customFormat="1" ht="32.1" customHeight="1">
      <c r="A38" s="592"/>
      <c r="B38" s="511" t="s">
        <v>1068</v>
      </c>
      <c r="C38" s="512" t="s">
        <v>1069</v>
      </c>
      <c r="D38" s="519">
        <v>0.5</v>
      </c>
      <c r="E38" s="479" t="s">
        <v>1070</v>
      </c>
      <c r="F38" s="523">
        <v>1</v>
      </c>
      <c r="G38" s="513" t="s">
        <v>1071</v>
      </c>
      <c r="H38" s="523">
        <v>1</v>
      </c>
      <c r="I38" s="479" t="s">
        <v>1072</v>
      </c>
      <c r="J38" s="523">
        <v>1</v>
      </c>
      <c r="K38" s="557" t="s">
        <v>1073</v>
      </c>
      <c r="L38" s="543">
        <v>0.5</v>
      </c>
      <c r="M38" s="546">
        <f t="shared" si="61"/>
        <v>0.89548611111111109</v>
      </c>
      <c r="N38" s="540">
        <f>Grönkoefficient!L40</f>
        <v>0</v>
      </c>
      <c r="O38" s="149">
        <f>(D38*$AY$3+F38*$AY$9+H38*$AY$14+J38*$AY$15+L38*$AY$16)/($AY$3+$AY$9+$AY$14+$AY$15+$AY$16)</f>
        <v>0.75942285041224977</v>
      </c>
      <c r="P38" s="115"/>
      <c r="Q38" s="36"/>
      <c r="R38" s="36"/>
      <c r="S38" s="36"/>
      <c r="T38" s="36"/>
      <c r="U38" s="36"/>
      <c r="V38" s="144"/>
      <c r="W38" s="144"/>
      <c r="X38" s="36"/>
      <c r="Y38" s="36"/>
      <c r="Z38" s="20"/>
      <c r="AA38" s="20"/>
      <c r="AB38" s="20"/>
      <c r="AC38" s="20"/>
      <c r="AD38" s="20"/>
      <c r="AE38" s="20"/>
      <c r="AF38" s="20"/>
      <c r="AG38" s="20"/>
      <c r="AH38" s="20"/>
      <c r="AI38" s="20"/>
      <c r="AJ38" s="459">
        <f t="shared" si="62"/>
        <v>0</v>
      </c>
      <c r="AK38" s="459">
        <f t="shared" si="63"/>
        <v>0</v>
      </c>
      <c r="AL38" s="459">
        <f t="shared" si="64"/>
        <v>0</v>
      </c>
      <c r="AM38" s="459">
        <f t="shared" si="65"/>
        <v>0</v>
      </c>
      <c r="AN38" s="459">
        <f t="shared" si="66"/>
        <v>0</v>
      </c>
      <c r="AO38" s="460">
        <f t="shared" si="67"/>
        <v>0</v>
      </c>
      <c r="AP38" s="114"/>
      <c r="AQ38" s="461">
        <f t="shared" si="68"/>
        <v>0.17720046529662659</v>
      </c>
      <c r="AR38" s="461">
        <f t="shared" si="69"/>
        <v>0.33811554866227211</v>
      </c>
      <c r="AS38" s="461">
        <f t="shared" si="70"/>
        <v>0.18844513377278016</v>
      </c>
      <c r="AT38" s="461">
        <f t="shared" si="71"/>
        <v>0.1566498642884839</v>
      </c>
      <c r="AU38" s="461">
        <f t="shared" si="72"/>
        <v>0.13958898797983715</v>
      </c>
      <c r="AV38" s="462">
        <f t="shared" si="73"/>
        <v>1</v>
      </c>
      <c r="AW38" s="150"/>
      <c r="AX38" s="131"/>
      <c r="AY38" s="131"/>
      <c r="AZ38" s="131"/>
      <c r="BA38" s="131"/>
      <c r="BB38" s="131"/>
      <c r="BC38" s="131"/>
      <c r="BD38" s="131"/>
      <c r="BE38" s="131"/>
      <c r="BF38" s="104">
        <f t="shared" si="74"/>
        <v>0</v>
      </c>
      <c r="BG38" s="131"/>
      <c r="BH38" s="131"/>
      <c r="BI38" s="131"/>
    </row>
    <row r="39" spans="1:77" ht="32.1" customHeight="1">
      <c r="A39" s="592"/>
      <c r="B39" s="511" t="s">
        <v>1074</v>
      </c>
      <c r="C39" s="550" t="s">
        <v>1075</v>
      </c>
      <c r="D39" s="519">
        <v>1</v>
      </c>
      <c r="E39" s="550" t="s">
        <v>1076</v>
      </c>
      <c r="F39" s="519">
        <v>1</v>
      </c>
      <c r="G39" s="513" t="s">
        <v>1077</v>
      </c>
      <c r="H39" s="523">
        <v>1</v>
      </c>
      <c r="I39" s="479" t="s">
        <v>1078</v>
      </c>
      <c r="J39" s="523">
        <v>0.5</v>
      </c>
      <c r="K39" s="557" t="s">
        <v>1079</v>
      </c>
      <c r="L39" s="543">
        <v>0.5</v>
      </c>
      <c r="M39" s="546">
        <f t="shared" si="61"/>
        <v>0.98402777777777772</v>
      </c>
      <c r="N39" s="540">
        <f>Grönkoefficient!L41</f>
        <v>0</v>
      </c>
      <c r="O39" s="149">
        <f>(D39*$AY$3+F39*$AY$9+H39*$AY$14+J39*$AY$15+L39*$AY$16)/($AY$3+$AY$9+$AY$14+$AY$15+$AY$16)</f>
        <v>0.83451118963486459</v>
      </c>
      <c r="P39" s="154"/>
      <c r="V39" s="144"/>
      <c r="W39" s="144"/>
      <c r="AJ39" s="459">
        <f t="shared" si="62"/>
        <v>0</v>
      </c>
      <c r="AK39" s="459">
        <f t="shared" si="63"/>
        <v>0</v>
      </c>
      <c r="AL39" s="459">
        <f t="shared" si="64"/>
        <v>0</v>
      </c>
      <c r="AM39" s="459">
        <f t="shared" si="65"/>
        <v>0</v>
      </c>
      <c r="AN39" s="459">
        <f t="shared" si="66"/>
        <v>0</v>
      </c>
      <c r="AO39" s="460">
        <f t="shared" si="67"/>
        <v>0</v>
      </c>
      <c r="AP39" s="114"/>
      <c r="AQ39" s="461">
        <f t="shared" si="68"/>
        <v>0.32251235003528583</v>
      </c>
      <c r="AR39" s="461">
        <f t="shared" si="69"/>
        <v>0.30769230769230765</v>
      </c>
      <c r="AS39" s="461">
        <f t="shared" si="70"/>
        <v>0.17148906139731829</v>
      </c>
      <c r="AT39" s="461">
        <f t="shared" si="71"/>
        <v>7.1277346506704309E-2</v>
      </c>
      <c r="AU39" s="461">
        <f t="shared" si="72"/>
        <v>0.12702893436838392</v>
      </c>
      <c r="AV39" s="462">
        <f t="shared" si="73"/>
        <v>1</v>
      </c>
      <c r="AW39" s="159"/>
      <c r="AX39" s="131"/>
      <c r="AY39" s="131"/>
      <c r="AZ39" s="131"/>
      <c r="BA39" s="131"/>
      <c r="BB39" s="131"/>
      <c r="BC39" s="131"/>
      <c r="BD39" s="131"/>
      <c r="BE39" s="131"/>
      <c r="BF39" s="104">
        <f t="shared" si="74"/>
        <v>0</v>
      </c>
      <c r="BG39" s="74"/>
      <c r="BH39" s="74"/>
      <c r="BI39" s="74"/>
    </row>
    <row r="40" spans="1:77" ht="32.1" customHeight="1">
      <c r="A40" s="592"/>
      <c r="B40" s="511" t="s">
        <v>1080</v>
      </c>
      <c r="C40" s="512" t="s">
        <v>1081</v>
      </c>
      <c r="D40" s="519">
        <v>0.5</v>
      </c>
      <c r="E40" s="479" t="s">
        <v>1082</v>
      </c>
      <c r="F40" s="523">
        <v>1</v>
      </c>
      <c r="G40" s="513" t="s">
        <v>1083</v>
      </c>
      <c r="H40" s="523">
        <v>0</v>
      </c>
      <c r="I40" s="551" t="s">
        <v>1084</v>
      </c>
      <c r="J40" s="523">
        <v>0</v>
      </c>
      <c r="K40" s="558" t="s">
        <v>1085</v>
      </c>
      <c r="L40" s="543">
        <v>1</v>
      </c>
      <c r="M40" s="546">
        <f t="shared" si="61"/>
        <v>0.71145833333333319</v>
      </c>
      <c r="N40" s="540">
        <f>Grönkoefficient!L42</f>
        <v>0</v>
      </c>
      <c r="O40" s="157" t="e">
        <f>(#REF!*$AY$3+#REF!*$AY$9+#REF!*$AY$14+#REF!*$AY$15+#REF!*$AY$16)/($AY$3+$AY$9+$AY$14+$AY$15+$AY$16)</f>
        <v>#REF!</v>
      </c>
      <c r="P40" s="160"/>
      <c r="Q40" s="155"/>
      <c r="R40" s="155"/>
      <c r="S40" s="155"/>
      <c r="T40" s="155"/>
      <c r="U40" s="155"/>
      <c r="V40" s="144"/>
      <c r="W40" s="144"/>
      <c r="X40" s="155"/>
      <c r="Y40" s="155"/>
      <c r="Z40" s="155"/>
      <c r="AA40" s="155"/>
      <c r="AB40" s="155"/>
      <c r="AC40" s="155"/>
      <c r="AD40" s="155"/>
      <c r="AE40" s="155"/>
      <c r="AF40" s="155"/>
      <c r="AG40" s="155"/>
      <c r="AH40" s="155"/>
      <c r="AI40" s="155"/>
      <c r="AJ40" s="459">
        <f t="shared" si="62"/>
        <v>0</v>
      </c>
      <c r="AK40" s="459">
        <f t="shared" si="63"/>
        <v>0</v>
      </c>
      <c r="AL40" s="459">
        <f t="shared" si="64"/>
        <v>0</v>
      </c>
      <c r="AM40" s="459">
        <f t="shared" si="65"/>
        <v>0</v>
      </c>
      <c r="AN40" s="459">
        <f t="shared" si="66"/>
        <v>0</v>
      </c>
      <c r="AO40" s="460">
        <f t="shared" si="67"/>
        <v>0</v>
      </c>
      <c r="AP40" s="114"/>
      <c r="AQ40" s="461">
        <f t="shared" si="68"/>
        <v>0.22303562713518793</v>
      </c>
      <c r="AR40" s="461">
        <f t="shared" si="69"/>
        <v>0.42557345046364076</v>
      </c>
      <c r="AS40" s="461">
        <f t="shared" si="70"/>
        <v>0</v>
      </c>
      <c r="AT40" s="461">
        <f t="shared" si="71"/>
        <v>0</v>
      </c>
      <c r="AU40" s="461">
        <f t="shared" si="72"/>
        <v>0.35139092240117137</v>
      </c>
      <c r="AV40" s="462">
        <f t="shared" si="73"/>
        <v>1</v>
      </c>
      <c r="AW40" s="159"/>
      <c r="AX40" s="74"/>
      <c r="AY40" s="74"/>
      <c r="AZ40" s="74"/>
      <c r="BA40" s="74"/>
      <c r="BB40" s="74"/>
      <c r="BC40" s="74"/>
      <c r="BD40" s="74"/>
      <c r="BE40" s="74"/>
      <c r="BF40" s="104">
        <f t="shared" si="74"/>
        <v>0</v>
      </c>
      <c r="BG40" s="74"/>
      <c r="BH40" s="74"/>
      <c r="BI40" s="74"/>
    </row>
    <row r="41" spans="1:77" ht="32.1" customHeight="1">
      <c r="A41" s="592"/>
      <c r="B41" s="511" t="s">
        <v>1086</v>
      </c>
      <c r="C41" s="552" t="s">
        <v>549</v>
      </c>
      <c r="D41" s="519">
        <v>1</v>
      </c>
      <c r="E41" s="553" t="s">
        <v>1087</v>
      </c>
      <c r="F41" s="523">
        <v>0.5</v>
      </c>
      <c r="G41" s="554" t="s">
        <v>1088</v>
      </c>
      <c r="H41" s="523">
        <v>0</v>
      </c>
      <c r="I41" s="553" t="s">
        <v>1089</v>
      </c>
      <c r="J41" s="523">
        <v>0.5</v>
      </c>
      <c r="K41" s="559" t="s">
        <v>554</v>
      </c>
      <c r="L41" s="543">
        <v>0.5</v>
      </c>
      <c r="M41" s="546">
        <f t="shared" si="61"/>
        <v>0.66388888888888875</v>
      </c>
      <c r="N41" s="540">
        <f>Grönkoefficient!L44</f>
        <v>0</v>
      </c>
      <c r="O41" s="149" t="e">
        <f>(#REF!*$AY$3+#REF!*$AY$9+#REF!*$AY$14+#REF!*$AY$15+#REF!*$AY$16)/($AY$3+$AY$9+$AY$14+$AY$15+$AY$16)</f>
        <v>#REF!</v>
      </c>
      <c r="P41" s="155"/>
      <c r="V41" s="144"/>
      <c r="W41" s="144"/>
      <c r="AJ41" s="459">
        <f t="shared" si="62"/>
        <v>0</v>
      </c>
      <c r="AK41" s="459">
        <f t="shared" si="63"/>
        <v>0</v>
      </c>
      <c r="AL41" s="459">
        <f t="shared" si="64"/>
        <v>0</v>
      </c>
      <c r="AM41" s="459">
        <f t="shared" si="65"/>
        <v>0</v>
      </c>
      <c r="AN41" s="459">
        <f t="shared" si="66"/>
        <v>0</v>
      </c>
      <c r="AO41" s="460">
        <f t="shared" ref="AO41" si="75">SUM(AJ41:AN41)</f>
        <v>0</v>
      </c>
      <c r="AP41" s="145"/>
      <c r="AQ41" s="461">
        <f t="shared" si="68"/>
        <v>0.47803347280334735</v>
      </c>
      <c r="AR41" s="461">
        <f t="shared" si="69"/>
        <v>0.22803347280334726</v>
      </c>
      <c r="AS41" s="461">
        <f t="shared" si="70"/>
        <v>0</v>
      </c>
      <c r="AT41" s="461">
        <f t="shared" si="71"/>
        <v>0.10564853556485358</v>
      </c>
      <c r="AU41" s="461">
        <f t="shared" si="72"/>
        <v>0.18828451882845193</v>
      </c>
      <c r="AV41" s="462">
        <f t="shared" si="73"/>
        <v>1</v>
      </c>
      <c r="AX41" s="131"/>
      <c r="AY41" s="131"/>
      <c r="AZ41" s="131"/>
      <c r="BA41" s="131"/>
      <c r="BB41" s="131"/>
      <c r="BC41" s="131"/>
      <c r="BD41" s="139"/>
      <c r="BE41" s="139"/>
      <c r="BF41" s="104">
        <f t="shared" ref="BF41:BF42" si="76">IF(AND(N41&gt;0,N41&lt;&gt;"-"),1,0)</f>
        <v>0</v>
      </c>
      <c r="BG41" s="74"/>
      <c r="BH41" s="74"/>
      <c r="BI41" s="74"/>
    </row>
    <row r="42" spans="1:77" s="155" customFormat="1" ht="32.1" customHeight="1" thickBot="1">
      <c r="A42" s="593"/>
      <c r="B42" s="514" t="s">
        <v>1090</v>
      </c>
      <c r="C42" s="555" t="s">
        <v>1091</v>
      </c>
      <c r="D42" s="520">
        <v>1</v>
      </c>
      <c r="E42" s="588" t="s">
        <v>1092</v>
      </c>
      <c r="F42" s="576">
        <v>0</v>
      </c>
      <c r="G42" s="556" t="s">
        <v>1093</v>
      </c>
      <c r="H42" s="524">
        <v>0</v>
      </c>
      <c r="I42" s="481" t="s">
        <v>553</v>
      </c>
      <c r="J42" s="524">
        <v>0.5</v>
      </c>
      <c r="K42" s="560" t="s">
        <v>1094</v>
      </c>
      <c r="L42" s="544">
        <v>0.5</v>
      </c>
      <c r="M42" s="547">
        <f t="shared" si="61"/>
        <v>0.51249999999999996</v>
      </c>
      <c r="N42" s="541">
        <f>Grönkoefficient!L45</f>
        <v>0</v>
      </c>
      <c r="O42" s="149"/>
      <c r="P42" s="74"/>
      <c r="V42" s="144"/>
      <c r="W42" s="144"/>
      <c r="AJ42" s="459">
        <f t="shared" si="62"/>
        <v>0</v>
      </c>
      <c r="AK42" s="459">
        <f t="shared" si="63"/>
        <v>0</v>
      </c>
      <c r="AL42" s="459">
        <f t="shared" si="64"/>
        <v>0</v>
      </c>
      <c r="AM42" s="459">
        <f t="shared" si="65"/>
        <v>0</v>
      </c>
      <c r="AN42" s="459">
        <f t="shared" si="66"/>
        <v>0</v>
      </c>
      <c r="AO42" s="460">
        <f t="shared" ref="AO42" si="77">SUM(AJ42:AN42)</f>
        <v>0</v>
      </c>
      <c r="AP42" s="145"/>
      <c r="AQ42" s="461">
        <f t="shared" si="68"/>
        <v>0.6192411924119241</v>
      </c>
      <c r="AR42" s="461">
        <f t="shared" si="69"/>
        <v>0</v>
      </c>
      <c r="AS42" s="461">
        <f t="shared" si="70"/>
        <v>0</v>
      </c>
      <c r="AT42" s="461">
        <f t="shared" si="71"/>
        <v>0.13685636856368566</v>
      </c>
      <c r="AU42" s="461">
        <f t="shared" si="72"/>
        <v>0.24390243902439027</v>
      </c>
      <c r="AV42" s="462">
        <f t="shared" si="73"/>
        <v>1</v>
      </c>
      <c r="AX42" s="131"/>
      <c r="AY42" s="131"/>
      <c r="AZ42" s="131"/>
      <c r="BA42" s="131"/>
      <c r="BB42" s="131"/>
      <c r="BC42" s="131"/>
      <c r="BD42" s="74"/>
      <c r="BE42" s="74"/>
      <c r="BF42" s="104">
        <f t="shared" si="76"/>
        <v>0</v>
      </c>
      <c r="BG42" s="131"/>
      <c r="BH42" s="131"/>
      <c r="BI42" s="131"/>
    </row>
    <row r="43" spans="1:77" s="155" customFormat="1" ht="32.1" customHeight="1">
      <c r="O43" s="149"/>
      <c r="P43" s="74"/>
      <c r="V43" s="144"/>
      <c r="W43" s="144"/>
      <c r="AJ43" s="459">
        <f>SUM(AJ2:AJ42)</f>
        <v>0.34894375159073554</v>
      </c>
      <c r="AK43" s="459">
        <f>SUM(AK2:AK42)</f>
        <v>0.22193942479002288</v>
      </c>
      <c r="AL43" s="459">
        <f>SUM(AL2:AL42)</f>
        <v>0</v>
      </c>
      <c r="AM43" s="459">
        <f>SUM(AM2:AM42)</f>
        <v>0.15423771952150675</v>
      </c>
      <c r="AN43" s="459">
        <f>SUM(AN2:AN42)</f>
        <v>0.27487910409773481</v>
      </c>
      <c r="AO43" s="460">
        <f>SUM(AJ43:AN43)</f>
        <v>1</v>
      </c>
      <c r="AP43" s="459"/>
      <c r="AQ43" s="459">
        <f t="shared" ref="AQ43:AV43" si="78">SUM(AQ2:AQ42)</f>
        <v>11.637497937919841</v>
      </c>
      <c r="AR43" s="459">
        <f t="shared" si="78"/>
        <v>9.655911390314607</v>
      </c>
      <c r="AS43" s="459">
        <f t="shared" si="78"/>
        <v>5.8621688928424183</v>
      </c>
      <c r="AT43" s="459">
        <f t="shared" si="78"/>
        <v>4.6884500917927507</v>
      </c>
      <c r="AU43" s="459">
        <f t="shared" si="78"/>
        <v>9.155971687130382</v>
      </c>
      <c r="AV43" s="460">
        <f t="shared" si="78"/>
        <v>41</v>
      </c>
      <c r="AX43" s="131"/>
      <c r="AY43" s="131"/>
      <c r="AZ43" s="131"/>
      <c r="BA43" s="131"/>
      <c r="BB43" s="131"/>
      <c r="BC43" s="131"/>
      <c r="BD43" s="74"/>
      <c r="BE43" s="74"/>
      <c r="BF43" s="104"/>
      <c r="BG43" s="131"/>
      <c r="BH43" s="131"/>
      <c r="BI43" s="131"/>
    </row>
    <row r="44" spans="1:77" s="139" customFormat="1" ht="32.1" customHeight="1">
      <c r="A44" s="134"/>
      <c r="B44" s="74"/>
      <c r="C44" s="140"/>
      <c r="D44" s="81"/>
      <c r="E44" s="140"/>
      <c r="F44" s="81"/>
      <c r="H44" s="81"/>
      <c r="I44" s="140"/>
      <c r="J44" s="81"/>
      <c r="K44" s="140"/>
      <c r="L44" s="81"/>
      <c r="M44" s="163"/>
      <c r="N44" s="163"/>
      <c r="O44" s="36"/>
      <c r="P44" s="74"/>
      <c r="Q44" s="36"/>
      <c r="R44" s="36"/>
      <c r="S44" s="36"/>
      <c r="T44" s="36"/>
      <c r="U44" s="36"/>
      <c r="V44" s="66"/>
      <c r="W44" s="45"/>
      <c r="X44" s="36"/>
      <c r="Y44" s="36"/>
      <c r="Z44" s="20"/>
      <c r="AA44" s="20"/>
      <c r="AB44" s="20"/>
      <c r="AC44" s="20"/>
      <c r="AD44" s="20"/>
      <c r="AE44" s="20"/>
      <c r="AF44" s="20"/>
      <c r="AG44" s="20"/>
      <c r="AH44" s="20"/>
      <c r="AI44" s="20"/>
      <c r="AW44" s="20"/>
      <c r="AX44" s="155"/>
      <c r="AY44" s="155"/>
      <c r="AZ44" s="155"/>
      <c r="BA44" s="155"/>
      <c r="BB44" s="155"/>
      <c r="BC44" s="155"/>
      <c r="BD44" s="155"/>
      <c r="BE44" s="155"/>
      <c r="BF44" s="20"/>
      <c r="BG44" s="161"/>
      <c r="BH44" s="161"/>
      <c r="BI44" s="161"/>
      <c r="BJ44" s="161"/>
      <c r="BK44" s="161"/>
      <c r="BL44" s="162"/>
      <c r="BM44" s="162"/>
      <c r="BN44" s="162"/>
      <c r="BO44" s="162"/>
      <c r="BP44" s="162"/>
      <c r="BQ44" s="162"/>
      <c r="BR44" s="162"/>
      <c r="BS44" s="162"/>
      <c r="BT44" s="162"/>
      <c r="BU44" s="162"/>
      <c r="BV44" s="162"/>
      <c r="BW44" s="162"/>
      <c r="BX44" s="162"/>
      <c r="BY44" s="162"/>
    </row>
    <row r="45" spans="1:77" ht="32.1" customHeight="1">
      <c r="A45" s="97" t="s">
        <v>1095</v>
      </c>
      <c r="AP45" s="150"/>
      <c r="AX45" s="155"/>
      <c r="AY45" s="155"/>
      <c r="AZ45" s="155"/>
      <c r="BA45" s="155"/>
      <c r="BB45" s="155"/>
      <c r="BC45" s="155"/>
    </row>
    <row r="46" spans="1:77" ht="32.1" customHeight="1">
      <c r="A46" s="93">
        <v>1</v>
      </c>
      <c r="B46" s="93" t="s">
        <v>1096</v>
      </c>
      <c r="AP46" s="150"/>
      <c r="AW46" s="155"/>
      <c r="AX46" s="164"/>
      <c r="AY46" s="155"/>
      <c r="AZ46" s="155"/>
      <c r="BA46" s="155"/>
      <c r="BB46" s="155"/>
      <c r="BC46" s="155"/>
    </row>
    <row r="47" spans="1:77" s="155" customFormat="1" ht="32.1" customHeight="1">
      <c r="A47" s="93">
        <v>2</v>
      </c>
      <c r="B47" s="93" t="s">
        <v>1097</v>
      </c>
      <c r="C47" s="140"/>
      <c r="D47" s="81"/>
      <c r="E47" s="140"/>
      <c r="F47" s="81"/>
      <c r="G47" s="139"/>
      <c r="H47" s="81"/>
      <c r="I47" s="140"/>
      <c r="J47" s="81"/>
      <c r="K47" s="140"/>
      <c r="L47" s="81"/>
      <c r="M47" s="163"/>
      <c r="N47" s="163"/>
      <c r="O47" s="36"/>
      <c r="P47" s="74"/>
      <c r="Q47" s="36"/>
      <c r="R47" s="36"/>
      <c r="S47" s="36"/>
      <c r="T47" s="36"/>
      <c r="U47" s="36"/>
      <c r="V47" s="66"/>
      <c r="W47" s="45"/>
      <c r="X47" s="36"/>
      <c r="Y47" s="36"/>
      <c r="Z47" s="20"/>
      <c r="AA47" s="20"/>
      <c r="AB47" s="20"/>
      <c r="AC47" s="20"/>
      <c r="AD47" s="20"/>
      <c r="AE47" s="20"/>
      <c r="AF47" s="20"/>
      <c r="AG47" s="20"/>
      <c r="AH47" s="20"/>
      <c r="AI47" s="20"/>
      <c r="AJ47" s="20"/>
      <c r="AK47" s="20"/>
      <c r="AL47" s="20"/>
      <c r="AM47" s="20"/>
      <c r="AN47" s="20"/>
      <c r="AO47" s="20"/>
      <c r="AP47" s="150"/>
      <c r="AQ47" s="20"/>
      <c r="AR47" s="20"/>
      <c r="AS47" s="20"/>
      <c r="AT47" s="20"/>
      <c r="AU47" s="20"/>
      <c r="AV47" s="20"/>
      <c r="AW47" s="20"/>
      <c r="AX47" s="20"/>
      <c r="AY47" s="20"/>
      <c r="AZ47" s="20"/>
      <c r="BA47" s="20"/>
      <c r="BB47" s="20"/>
      <c r="BC47" s="20"/>
      <c r="BD47" s="20"/>
      <c r="BE47" s="20"/>
      <c r="BF47" s="20"/>
    </row>
    <row r="48" spans="1:77" ht="32.1" customHeight="1">
      <c r="A48" s="93">
        <v>3</v>
      </c>
      <c r="B48" s="137" t="s">
        <v>338</v>
      </c>
      <c r="AP48" s="150"/>
      <c r="AX48" s="155"/>
      <c r="AY48" s="155"/>
      <c r="AZ48" s="155"/>
      <c r="BA48" s="155"/>
      <c r="BB48" s="155"/>
      <c r="BC48" s="155"/>
      <c r="BD48" s="155"/>
      <c r="BE48" s="155"/>
    </row>
    <row r="49" spans="1:58" ht="32.1" customHeight="1">
      <c r="A49" s="93">
        <v>4</v>
      </c>
      <c r="B49" s="93" t="s">
        <v>1098</v>
      </c>
      <c r="AP49" s="150"/>
      <c r="AW49" s="155"/>
    </row>
    <row r="50" spans="1:58" ht="32.1" customHeight="1">
      <c r="A50" s="93">
        <v>5</v>
      </c>
      <c r="B50" s="93" t="s">
        <v>1099</v>
      </c>
      <c r="AP50" s="150"/>
    </row>
    <row r="51" spans="1:58" s="155" customFormat="1" ht="20.100000000000001" customHeight="1">
      <c r="A51" s="93">
        <v>6</v>
      </c>
      <c r="B51" s="93" t="s">
        <v>1100</v>
      </c>
      <c r="C51" s="140"/>
      <c r="D51" s="81"/>
      <c r="E51" s="140"/>
      <c r="F51" s="81"/>
      <c r="G51" s="139"/>
      <c r="H51" s="81"/>
      <c r="I51" s="140"/>
      <c r="J51" s="81"/>
      <c r="K51" s="140"/>
      <c r="L51" s="81"/>
      <c r="M51" s="163"/>
      <c r="N51" s="163"/>
      <c r="O51" s="36"/>
      <c r="P51" s="74"/>
      <c r="Q51" s="36"/>
      <c r="R51" s="36"/>
      <c r="S51" s="36"/>
      <c r="T51" s="36"/>
      <c r="U51" s="36"/>
      <c r="V51" s="66"/>
      <c r="W51" s="45"/>
      <c r="X51" s="36"/>
      <c r="Y51" s="36"/>
      <c r="Z51" s="20"/>
      <c r="AA51" s="20"/>
      <c r="AB51" s="20"/>
      <c r="AC51" s="20"/>
      <c r="AD51" s="20"/>
      <c r="AE51" s="20"/>
      <c r="AF51" s="20"/>
      <c r="AG51" s="20"/>
      <c r="AH51" s="20"/>
      <c r="AI51" s="20"/>
      <c r="AJ51" s="20"/>
      <c r="AK51" s="20"/>
      <c r="AL51" s="20"/>
      <c r="AM51" s="20"/>
      <c r="AN51" s="20"/>
      <c r="AO51" s="20"/>
      <c r="AP51" s="150"/>
      <c r="AQ51" s="20"/>
      <c r="AR51" s="20"/>
      <c r="AS51" s="20"/>
      <c r="AT51" s="20"/>
      <c r="AU51" s="20"/>
      <c r="AV51" s="20"/>
      <c r="AW51" s="20"/>
      <c r="AX51" s="20"/>
      <c r="AY51" s="20"/>
      <c r="AZ51" s="20"/>
      <c r="BA51" s="20"/>
      <c r="BB51" s="20"/>
      <c r="BC51" s="20"/>
      <c r="BD51" s="20"/>
      <c r="BE51" s="20"/>
      <c r="BF51" s="20"/>
    </row>
    <row r="52" spans="1:58" ht="20.100000000000001" customHeight="1">
      <c r="A52" s="93">
        <v>7</v>
      </c>
      <c r="B52" s="93" t="s">
        <v>1101</v>
      </c>
      <c r="AP52" s="150"/>
    </row>
    <row r="53" spans="1:58" ht="20.100000000000001" customHeight="1">
      <c r="A53" s="93">
        <v>8</v>
      </c>
      <c r="B53" s="137" t="s">
        <v>339</v>
      </c>
    </row>
    <row r="54" spans="1:58" ht="20.100000000000001" customHeight="1">
      <c r="A54" s="93">
        <v>9</v>
      </c>
      <c r="B54" s="93" t="s">
        <v>1102</v>
      </c>
    </row>
    <row r="55" spans="1:58" ht="20.100000000000001" customHeight="1">
      <c r="A55" s="93">
        <v>10</v>
      </c>
      <c r="B55" s="93" t="s">
        <v>1103</v>
      </c>
    </row>
    <row r="56" spans="1:58" ht="20.100000000000001" customHeight="1">
      <c r="A56" s="93">
        <v>11</v>
      </c>
      <c r="B56" s="93" t="s">
        <v>1104</v>
      </c>
    </row>
    <row r="57" spans="1:58" ht="20.100000000000001" customHeight="1">
      <c r="A57" s="93">
        <v>12</v>
      </c>
      <c r="B57" s="93" t="s">
        <v>1105</v>
      </c>
    </row>
    <row r="58" spans="1:58" ht="20.100000000000001" customHeight="1">
      <c r="A58" s="93">
        <v>13</v>
      </c>
      <c r="B58" s="137" t="s">
        <v>340</v>
      </c>
    </row>
    <row r="59" spans="1:58" ht="20.100000000000001" customHeight="1">
      <c r="A59" s="93">
        <v>14</v>
      </c>
      <c r="B59" s="93" t="s">
        <v>1106</v>
      </c>
    </row>
    <row r="60" spans="1:58" ht="20.100000000000001" customHeight="1">
      <c r="A60" s="93">
        <v>15</v>
      </c>
      <c r="B60" s="93" t="s">
        <v>1107</v>
      </c>
    </row>
    <row r="61" spans="1:58" ht="20.100000000000001" customHeight="1">
      <c r="A61" s="93">
        <v>16</v>
      </c>
      <c r="B61" s="93" t="s">
        <v>1108</v>
      </c>
    </row>
    <row r="62" spans="1:58" ht="20.100000000000001" customHeight="1">
      <c r="A62" s="93">
        <v>17</v>
      </c>
      <c r="B62" s="138" t="s">
        <v>1109</v>
      </c>
    </row>
    <row r="63" spans="1:58" ht="20.100000000000001" customHeight="1">
      <c r="A63" s="93">
        <v>18</v>
      </c>
      <c r="B63" s="93" t="s">
        <v>1110</v>
      </c>
    </row>
    <row r="64" spans="1:58" ht="20.100000000000001" customHeight="1"/>
    <row r="65" ht="20.100000000000001" customHeight="1"/>
    <row r="66" ht="20.100000000000001" customHeight="1"/>
    <row r="67" ht="20.100000000000001" customHeight="1"/>
    <row r="68" ht="20.100000000000001" customHeight="1"/>
  </sheetData>
  <customSheetViews>
    <customSheetView guid="{C0826E8D-7112-6B45-A18A-1E6622F31D95}" scale="80" state="hidden">
      <selection activeCell="BD15" sqref="BD15"/>
      <pageMargins left="0.7" right="0.7" top="0.75" bottom="0.75" header="0.3" footer="0.3"/>
      <pageSetup paperSize="9" orientation="portrait" verticalDpi="0" r:id="rId1"/>
    </customSheetView>
  </customSheetViews>
  <mergeCells count="21">
    <mergeCell ref="A26:A27"/>
    <mergeCell ref="A28:A34"/>
    <mergeCell ref="BA9:BA11"/>
    <mergeCell ref="BA3:BA8"/>
    <mergeCell ref="AZ3:AZ8"/>
    <mergeCell ref="AZ9:AZ11"/>
    <mergeCell ref="A2:A9"/>
    <mergeCell ref="A10:A21"/>
    <mergeCell ref="AX17:AX18"/>
    <mergeCell ref="P6:P7"/>
    <mergeCell ref="C1:D1"/>
    <mergeCell ref="E1:F1"/>
    <mergeCell ref="G1:H1"/>
    <mergeCell ref="I1:J1"/>
    <mergeCell ref="A22:A25"/>
    <mergeCell ref="K1:L1"/>
    <mergeCell ref="AX1:AY1"/>
    <mergeCell ref="AX3:AX8"/>
    <mergeCell ref="AY3:AY8"/>
    <mergeCell ref="AX9:AX11"/>
    <mergeCell ref="AY9:AY11"/>
  </mergeCells>
  <conditionalFormatting sqref="W1:W33 W35:W1048576">
    <cfRule type="cellIs" dxfId="1" priority="1" operator="lessThan">
      <formula>0</formula>
    </cfRule>
    <cfRule type="cellIs" dxfId="0" priority="2" operator="greaterThan">
      <formula>0</formula>
    </cfRule>
  </conditionalFormatting>
  <pageMargins left="0.7" right="0.7" top="0.75" bottom="0.75" header="0.3" footer="0.3"/>
  <pageSetup paperSize="9" orientation="portrait" verticalDpi="0" r:id="rId2"/>
  <legacy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4"/>
  <dimension ref="A1:E33"/>
  <sheetViews>
    <sheetView workbookViewId="0">
      <selection activeCell="B19" sqref="B19"/>
    </sheetView>
  </sheetViews>
  <sheetFormatPr defaultColWidth="8.85546875" defaultRowHeight="14.25"/>
  <cols>
    <col min="1" max="1" width="70.85546875" style="16" customWidth="1"/>
    <col min="2" max="2" width="50.85546875" style="16" customWidth="1"/>
    <col min="3" max="3" width="30.85546875" style="16" customWidth="1"/>
    <col min="4" max="16384" width="8.85546875" style="16"/>
  </cols>
  <sheetData>
    <row r="1" spans="1:5">
      <c r="A1" s="184" t="s">
        <v>174</v>
      </c>
      <c r="B1" s="184" t="s">
        <v>354</v>
      </c>
      <c r="C1" s="184" t="s">
        <v>271</v>
      </c>
    </row>
    <row r="2" spans="1:5">
      <c r="A2" s="16" t="s">
        <v>175</v>
      </c>
      <c r="B2" s="16" t="s">
        <v>622</v>
      </c>
      <c r="C2" s="16" t="s">
        <v>623</v>
      </c>
    </row>
    <row r="3" spans="1:5">
      <c r="A3" s="185">
        <v>0</v>
      </c>
      <c r="B3" s="186">
        <v>0</v>
      </c>
      <c r="C3" s="184">
        <v>0.5</v>
      </c>
      <c r="E3" s="184"/>
    </row>
    <row r="4" spans="1:5">
      <c r="A4" s="185">
        <v>0.1</v>
      </c>
      <c r="B4" s="186">
        <v>0.05</v>
      </c>
      <c r="C4" s="185">
        <v>1</v>
      </c>
      <c r="E4" s="185"/>
    </row>
    <row r="5" spans="1:5">
      <c r="A5" s="185">
        <v>0.2</v>
      </c>
      <c r="B5" s="186">
        <v>0.1</v>
      </c>
      <c r="C5" s="185">
        <v>1.5</v>
      </c>
      <c r="E5" s="185"/>
    </row>
    <row r="6" spans="1:5">
      <c r="A6" s="185">
        <v>0.3</v>
      </c>
      <c r="B6" s="186">
        <v>0.15</v>
      </c>
      <c r="C6" s="185">
        <v>2</v>
      </c>
      <c r="E6" s="185"/>
    </row>
    <row r="7" spans="1:5">
      <c r="A7" s="185">
        <v>0.4</v>
      </c>
      <c r="B7" s="186">
        <v>0.2</v>
      </c>
      <c r="C7" s="185"/>
    </row>
    <row r="8" spans="1:5">
      <c r="A8" s="185">
        <v>0.5</v>
      </c>
      <c r="B8" s="186">
        <v>0.25</v>
      </c>
      <c r="C8" s="185"/>
    </row>
    <row r="9" spans="1:5">
      <c r="A9" s="185">
        <v>0.6</v>
      </c>
      <c r="B9" s="186">
        <v>0.3</v>
      </c>
      <c r="C9" s="185"/>
    </row>
    <row r="10" spans="1:5">
      <c r="A10" s="185">
        <v>0.7</v>
      </c>
      <c r="B10" s="186">
        <v>0.35</v>
      </c>
      <c r="C10" s="185"/>
    </row>
    <row r="11" spans="1:5">
      <c r="A11" s="185">
        <v>0.8</v>
      </c>
      <c r="B11" s="186">
        <v>0.4</v>
      </c>
      <c r="C11" s="185"/>
    </row>
    <row r="12" spans="1:5">
      <c r="A12" s="185">
        <v>0.9</v>
      </c>
      <c r="B12" s="186">
        <v>0.5</v>
      </c>
      <c r="C12" s="185"/>
    </row>
    <row r="13" spans="1:5">
      <c r="A13" s="185">
        <v>1</v>
      </c>
      <c r="B13" s="186">
        <v>0.6</v>
      </c>
      <c r="C13" s="185"/>
    </row>
    <row r="14" spans="1:5">
      <c r="A14" s="185">
        <v>1.1000000000000001</v>
      </c>
      <c r="B14" s="186">
        <v>0.7</v>
      </c>
      <c r="C14" s="185"/>
    </row>
    <row r="15" spans="1:5">
      <c r="A15" s="185">
        <v>1.2</v>
      </c>
      <c r="B15" s="186">
        <v>0.8</v>
      </c>
      <c r="C15" s="185"/>
    </row>
    <row r="16" spans="1:5">
      <c r="A16" s="185">
        <v>1.3</v>
      </c>
      <c r="B16" s="186">
        <v>0.9</v>
      </c>
      <c r="C16" s="185"/>
    </row>
    <row r="17" spans="1:3">
      <c r="A17" s="185">
        <v>1.4</v>
      </c>
      <c r="B17" s="186">
        <v>1</v>
      </c>
      <c r="C17" s="185"/>
    </row>
    <row r="18" spans="1:3">
      <c r="A18" s="185">
        <v>1.5</v>
      </c>
      <c r="B18" s="186"/>
      <c r="C18" s="185"/>
    </row>
    <row r="20" spans="1:3">
      <c r="A20" s="16" t="s">
        <v>374</v>
      </c>
    </row>
    <row r="21" spans="1:3">
      <c r="A21" s="16" t="s">
        <v>624</v>
      </c>
    </row>
    <row r="22" spans="1:3">
      <c r="A22" s="253">
        <v>0</v>
      </c>
    </row>
    <row r="23" spans="1:3">
      <c r="A23" s="16" t="s">
        <v>405</v>
      </c>
    </row>
    <row r="24" spans="1:3">
      <c r="A24" s="16" t="s">
        <v>385</v>
      </c>
    </row>
    <row r="25" spans="1:3">
      <c r="A25" s="16" t="s">
        <v>406</v>
      </c>
    </row>
    <row r="26" spans="1:3">
      <c r="A26" s="16" t="s">
        <v>386</v>
      </c>
    </row>
    <row r="28" spans="1:3">
      <c r="A28" s="16" t="s">
        <v>384</v>
      </c>
    </row>
    <row r="29" spans="1:3">
      <c r="A29" s="16" t="s">
        <v>625</v>
      </c>
    </row>
    <row r="30" spans="1:3">
      <c r="A30" s="16" t="s">
        <v>428</v>
      </c>
    </row>
    <row r="31" spans="1:3">
      <c r="A31" s="16" t="s">
        <v>429</v>
      </c>
    </row>
    <row r="32" spans="1:3">
      <c r="A32" s="16" t="s">
        <v>430</v>
      </c>
    </row>
    <row r="33" spans="1:1">
      <c r="A33" s="16" t="s">
        <v>431</v>
      </c>
    </row>
  </sheetData>
  <customSheetViews>
    <customSheetView guid="{C0826E8D-7112-6B45-A18A-1E6622F31D95}" state="hidden">
      <selection activeCell="A5" sqref="A5"/>
      <pageMargins left="0.7" right="0.7" top="0.75" bottom="0.75" header="0.3" footer="0.3"/>
    </customSheetView>
  </customSheetViews>
  <pageMargins left="0.7" right="0.7" top="0.75" bottom="0.75" header="0.3" footer="0.3"/>
  <pageSetup paperSize="9" orientation="portrait" horizontalDpi="0" verticalDpi="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Laskentataulukot</vt:lpstr>
      </vt:variant>
      <vt:variant>
        <vt:i4>10</vt:i4>
      </vt:variant>
      <vt:variant>
        <vt:lpstr>Nimetyt alueet</vt:lpstr>
      </vt:variant>
      <vt:variant>
        <vt:i4>5</vt:i4>
      </vt:variant>
    </vt:vector>
  </HeadingPairs>
  <TitlesOfParts>
    <vt:vector size="15" baseType="lpstr">
      <vt:lpstr>Anvisningar</vt:lpstr>
      <vt:lpstr>Avgränsningar</vt:lpstr>
      <vt:lpstr>Grönkoefficient</vt:lpstr>
      <vt:lpstr>Naturräknare</vt:lpstr>
      <vt:lpstr>Resultat</vt:lpstr>
      <vt:lpstr>Mer om grönkoefficienten</vt:lpstr>
      <vt:lpstr>Mer om elementen</vt:lpstr>
      <vt:lpstr>Mer om naturräknaren</vt:lpstr>
      <vt:lpstr>Painokertoimet</vt:lpstr>
      <vt:lpstr>Kelpoisuusehdot</vt:lpstr>
      <vt:lpstr>helevesiratkaisun_keskisyvyys</vt:lpstr>
      <vt:lpstr>hulevesi_keskisyvyys</vt:lpstr>
      <vt:lpstr>Hulevesiratkaisun_keskisyvyys__m</vt:lpstr>
      <vt:lpstr>Painokertoimet!Tulostusalue</vt:lpstr>
      <vt:lpstr>Resultat!Tulostusalue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Topi Tiihonen;Elina Inkiläinen</dc:creator>
  <cp:lastModifiedBy>Saatsi Emilia</cp:lastModifiedBy>
  <cp:lastPrinted>2017-06-14T06:15:29Z</cp:lastPrinted>
  <dcterms:created xsi:type="dcterms:W3CDTF">2013-08-27T19:40:10Z</dcterms:created>
  <dcterms:modified xsi:type="dcterms:W3CDTF">2024-05-06T10:57:42Z</dcterms:modified>
</cp:coreProperties>
</file>