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drawings/drawing3.xml" ContentType="application/vnd.openxmlformats-officedocument.drawing+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drawings/drawing4.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omments1.xml" ContentType="application/vnd.openxmlformats-officedocument.spreadsheetml.comments+xml"/>
  <Override PartName="/xl/drawings/drawing5.xml" ContentType="application/vnd.openxmlformats-officedocument.drawing+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drawings/drawing6.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11"/>
  <workbookPr codeName="ThisWorkbook"/>
  <mc:AlternateContent xmlns:mc="http://schemas.openxmlformats.org/markup-compatibility/2006">
    <mc:Choice Requires="x15">
      <x15ac:absPath xmlns:x15ac="http://schemas.microsoft.com/office/spreadsheetml/2010/11/ac" url="/Users/alexsalminen/Nomaji Dropbox/Nomaji/3_Projektit/332_Porvoon viherkerroin/04_Suunnittelu/EXCEL/"/>
    </mc:Choice>
  </mc:AlternateContent>
  <xr:revisionPtr revIDLastSave="0" documentId="13_ncr:1_{A037095F-F99E-7C41-8D5E-C97183C50EA2}" xr6:coauthVersionLast="47" xr6:coauthVersionMax="47" xr10:uidLastSave="{00000000-0000-0000-0000-000000000000}"/>
  <workbookProtection workbookAlgorithmName="SHA-512" workbookHashValue="TvYh5wGrxsMEIOYLahZJkFYUDF5L9m0O1Z4Gon5TQycUPJIeT4UKEDkOHs1wma7Upiz73Rbw5sEBJMqLPRJbTw==" workbookSaltValue="37zqv6gdgfut6+LTgcgtKg==" workbookSpinCount="100000" lockStructure="1"/>
  <bookViews>
    <workbookView xWindow="20" yWindow="500" windowWidth="60140" windowHeight="31800" xr2:uid="{00000000-000D-0000-FFFF-FFFF00000000}"/>
  </bookViews>
  <sheets>
    <sheet name="Ohjeet" sheetId="29" r:id="rId1"/>
    <sheet name="Rajaukset" sheetId="6" r:id="rId2"/>
    <sheet name="Viherkerroin" sheetId="11" r:id="rId3"/>
    <sheet name="Luontolaskuri" sheetId="34" r:id="rId4"/>
    <sheet name="Tulokset" sheetId="28" r:id="rId5"/>
    <sheet name="Viherkertoimen lisätiedot" sheetId="30" r:id="rId6"/>
    <sheet name="Elementtien lisätiedot" sheetId="33" r:id="rId7"/>
    <sheet name="Luontolaskurin lisätiedot" sheetId="35" r:id="rId8"/>
    <sheet name="Painokertoimet" sheetId="12" state="hidden" r:id="rId9"/>
    <sheet name="Kelpoisuusehdot" sheetId="31" state="hidden" r:id="rId10"/>
  </sheets>
  <definedNames>
    <definedName name="helevesiratkaisun_keskisyvyys">Kelpoisuusehdot!$A$1:$A$18</definedName>
    <definedName name="hulevesi_keskisyvyys">Kelpoisuusehdot!$A$4:$A$18</definedName>
    <definedName name="Hulevesiratkaisun_keskisyvyys__m">Kelpoisuusehdot!$A$1:$A$18</definedName>
    <definedName name="_xlnm.Print_Area" localSheetId="8">Painokertoimet!$B$1:$J$39</definedName>
    <definedName name="_xlnm.Print_Area" localSheetId="4">Tulokset!$A$1:$L$52</definedName>
    <definedName name="Z_C0826E8D_7112_6B45_A18A_1E6622F31D95_.wvu.Cols" localSheetId="2" hidden="1">Viherkerroin!$K:$K</definedName>
    <definedName name="Z_C0826E8D_7112_6B45_A18A_1E6622F31D95_.wvu.PrintArea" localSheetId="8" hidden="1">Painokertoimet!$B$1:$J$39</definedName>
    <definedName name="Z_C0826E8D_7112_6B45_A18A_1E6622F31D95_.wvu.PrintArea" localSheetId="4" hidden="1">Tulokset!$B$2:$J$51</definedName>
    <definedName name="Z_C0826E8D_7112_6B45_A18A_1E6622F31D95_.wvu.Rows" localSheetId="5" hidden="1">'Viherkertoimen lisätiedot'!$32:$34,'Viherkertoimen lisätiedot'!$38:$38,'Viherkertoimen lisätiedot'!#REF!,'Viherkertoimen lisätiedot'!$43:$43</definedName>
  </definedNames>
  <calcPr calcId="191029"/>
  <customWorkbookViews>
    <customWorkbookView name="Show all" guid="{C0826E8D-7112-6B45-A18A-1E6622F31D95}" maximized="1" yWindow="23" windowWidth="2560" windowHeight="1336" activeSheetId="11"/>
  </customWorkbookView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M30" i="12" l="1"/>
  <c r="C44" i="6"/>
  <c r="C43" i="6"/>
  <c r="F16" i="28" l="1"/>
  <c r="J9" i="6" l="1"/>
  <c r="G39" i="34"/>
  <c r="G11" i="34" s="1"/>
  <c r="G40" i="34"/>
  <c r="G41" i="34"/>
  <c r="G13" i="34" s="1"/>
  <c r="AQ35" i="12"/>
  <c r="AR35" i="12"/>
  <c r="AS35" i="12"/>
  <c r="AT35" i="12"/>
  <c r="AU35" i="12"/>
  <c r="AV35" i="12"/>
  <c r="C47" i="6"/>
  <c r="D43" i="6" s="1"/>
  <c r="X26" i="11"/>
  <c r="X27" i="11"/>
  <c r="X28" i="11"/>
  <c r="X29" i="11"/>
  <c r="X30" i="11"/>
  <c r="X31" i="11"/>
  <c r="G12" i="34" l="1"/>
  <c r="K34" i="11"/>
  <c r="V34" i="11" s="1"/>
  <c r="Z34" i="11" s="1"/>
  <c r="W34" i="11"/>
  <c r="X34" i="11"/>
  <c r="Y34" i="11"/>
  <c r="K8" i="11"/>
  <c r="T8" i="11" s="1"/>
  <c r="K6" i="11"/>
  <c r="K3" i="11"/>
  <c r="AC34" i="11" l="1"/>
  <c r="AD34" i="11"/>
  <c r="K13" i="11"/>
  <c r="K12" i="11"/>
  <c r="K7" i="11"/>
  <c r="K5" i="11"/>
  <c r="K4" i="11"/>
  <c r="U12" i="11" l="1"/>
  <c r="Y12" i="11" s="1"/>
  <c r="U13" i="11"/>
  <c r="Y13" i="11" s="1"/>
  <c r="U6" i="11"/>
  <c r="Y6" i="11" s="1"/>
  <c r="U7" i="11"/>
  <c r="Y7" i="11" s="1"/>
  <c r="AD12" i="11"/>
  <c r="AD13" i="11"/>
  <c r="AC12" i="11"/>
  <c r="AC13" i="11"/>
  <c r="Z12" i="11"/>
  <c r="Z13" i="11"/>
  <c r="X12" i="11"/>
  <c r="X13" i="11"/>
  <c r="W12" i="11"/>
  <c r="W13" i="11"/>
  <c r="AC6" i="11"/>
  <c r="AC7" i="11"/>
  <c r="Z6" i="11"/>
  <c r="Z7" i="11"/>
  <c r="X6" i="11"/>
  <c r="X7" i="11"/>
  <c r="W6" i="11"/>
  <c r="W7" i="11"/>
  <c r="M17" i="12"/>
  <c r="O42" i="11" l="1"/>
  <c r="K43" i="11"/>
  <c r="K44" i="11"/>
  <c r="N34" i="12"/>
  <c r="N42" i="12" l="1"/>
  <c r="BF42" i="12" s="1"/>
  <c r="M41" i="12"/>
  <c r="M42" i="12"/>
  <c r="AU41" i="12" l="1"/>
  <c r="AQ41" i="12"/>
  <c r="AR41" i="12"/>
  <c r="AS41" i="12"/>
  <c r="AS42" i="12"/>
  <c r="AR42" i="12"/>
  <c r="AQ42" i="12"/>
  <c r="AJ42" i="12"/>
  <c r="AK42" i="12"/>
  <c r="AL42" i="12"/>
  <c r="AM42" i="12"/>
  <c r="AN42" i="12"/>
  <c r="AT42" i="12"/>
  <c r="J44" i="11"/>
  <c r="L44" i="11" s="1"/>
  <c r="N41" i="12" s="1"/>
  <c r="BF41" i="12" s="1"/>
  <c r="AT41" i="12"/>
  <c r="J43" i="11"/>
  <c r="L43" i="11" s="1"/>
  <c r="AU42" i="12"/>
  <c r="AV42" i="12" l="1"/>
  <c r="AV41" i="12"/>
  <c r="AJ41" i="12"/>
  <c r="AK41" i="12"/>
  <c r="AL41" i="12"/>
  <c r="AM41" i="12"/>
  <c r="AN41" i="12"/>
  <c r="AO42" i="12"/>
  <c r="O12" i="12"/>
  <c r="AO41" i="12" l="1"/>
  <c r="C2" i="28"/>
  <c r="G48" i="34"/>
  <c r="J19" i="6"/>
  <c r="J17" i="6"/>
  <c r="M5" i="12" l="1"/>
  <c r="M6" i="12"/>
  <c r="M12" i="12"/>
  <c r="M13" i="12"/>
  <c r="J14" i="11" l="1"/>
  <c r="L14" i="11" s="1"/>
  <c r="N13" i="12" s="1"/>
  <c r="BF13" i="12" s="1"/>
  <c r="AU13" i="12"/>
  <c r="AT13" i="12"/>
  <c r="AS13" i="12"/>
  <c r="AR13" i="12"/>
  <c r="AQ13" i="12"/>
  <c r="J13" i="11"/>
  <c r="L13" i="11" s="1"/>
  <c r="N12" i="12" s="1"/>
  <c r="BF12" i="12" s="1"/>
  <c r="AU12" i="12"/>
  <c r="AQ12" i="12"/>
  <c r="AT12" i="12"/>
  <c r="AS12" i="12"/>
  <c r="AR12" i="12"/>
  <c r="J7" i="11"/>
  <c r="L7" i="11" s="1"/>
  <c r="N6" i="12" s="1"/>
  <c r="AQ6" i="12"/>
  <c r="AR6" i="12"/>
  <c r="AT6" i="12"/>
  <c r="AS6" i="12"/>
  <c r="AU6" i="12"/>
  <c r="J6" i="11"/>
  <c r="L6" i="11" s="1"/>
  <c r="N5" i="12" s="1"/>
  <c r="AT5" i="12"/>
  <c r="AS5" i="12"/>
  <c r="AR5" i="12"/>
  <c r="AU5" i="12"/>
  <c r="AQ5" i="12"/>
  <c r="G38" i="34"/>
  <c r="G9" i="34" s="1"/>
  <c r="G21" i="34"/>
  <c r="AK5" i="12" l="1"/>
  <c r="BF5" i="12"/>
  <c r="AK6" i="12"/>
  <c r="BF6" i="12"/>
  <c r="AM5" i="12"/>
  <c r="AJ5" i="12"/>
  <c r="AN5" i="12"/>
  <c r="AL5" i="12"/>
  <c r="AM6" i="12"/>
  <c r="AL6" i="12"/>
  <c r="AJ6" i="12"/>
  <c r="AN6" i="12"/>
  <c r="AV13" i="12"/>
  <c r="AV12" i="12"/>
  <c r="AV5" i="12"/>
  <c r="AV6" i="12"/>
  <c r="G52" i="34"/>
  <c r="G25" i="34" s="1"/>
  <c r="G42" i="34"/>
  <c r="G14" i="34" s="1"/>
  <c r="G43" i="34"/>
  <c r="G15" i="34" s="1"/>
  <c r="G44" i="34"/>
  <c r="G16" i="34" s="1"/>
  <c r="G35" i="34"/>
  <c r="G36" i="34"/>
  <c r="G7" i="34" s="1"/>
  <c r="G37" i="34"/>
  <c r="G8" i="34" s="1"/>
  <c r="G45" i="34"/>
  <c r="G18" i="34" s="1"/>
  <c r="G46" i="34"/>
  <c r="G19" i="34" s="1"/>
  <c r="G47" i="34"/>
  <c r="G20" i="34" s="1"/>
  <c r="G53" i="34"/>
  <c r="G54" i="34"/>
  <c r="G28" i="34" s="1"/>
  <c r="G55" i="34"/>
  <c r="F34" i="34"/>
  <c r="F33" i="34"/>
  <c r="G33" i="34" s="1"/>
  <c r="G29" i="34" l="1"/>
  <c r="AO5" i="12"/>
  <c r="AO6" i="12"/>
  <c r="G34" i="34"/>
  <c r="G5" i="34" s="1"/>
  <c r="I51" i="34"/>
  <c r="I7" i="34" s="1"/>
  <c r="G4" i="34"/>
  <c r="B24" i="34"/>
  <c r="B29" i="34"/>
  <c r="G27" i="34"/>
  <c r="G6" i="34"/>
  <c r="B15" i="34"/>
  <c r="Z32" i="11"/>
  <c r="Z33" i="11"/>
  <c r="W20" i="11"/>
  <c r="W18" i="11"/>
  <c r="W17" i="11"/>
  <c r="I34" i="34" l="1"/>
  <c r="C17" i="28"/>
  <c r="B8" i="34"/>
  <c r="K9" i="11"/>
  <c r="T9" i="11" s="1"/>
  <c r="BF34" i="12"/>
  <c r="X25" i="11"/>
  <c r="X24" i="11"/>
  <c r="W21" i="11"/>
  <c r="B15" i="11"/>
  <c r="I42" i="34" l="1"/>
  <c r="I41" i="34" s="1"/>
  <c r="I40" i="34" s="1"/>
  <c r="I39" i="34" s="1"/>
  <c r="I3" i="34" s="1"/>
  <c r="Z30" i="11"/>
  <c r="Z29" i="11"/>
  <c r="Z27" i="11"/>
  <c r="Z28" i="11"/>
  <c r="Z26" i="11"/>
  <c r="Z25" i="11"/>
  <c r="Z24" i="11"/>
  <c r="Y30" i="11"/>
  <c r="Y29" i="11"/>
  <c r="Y27" i="11"/>
  <c r="Y28" i="11"/>
  <c r="Y26" i="11"/>
  <c r="Y25" i="11"/>
  <c r="Y24" i="11"/>
  <c r="K36" i="11"/>
  <c r="K35" i="11"/>
  <c r="K22" i="11"/>
  <c r="K20" i="11"/>
  <c r="AC20" i="11" s="1"/>
  <c r="X33" i="11"/>
  <c r="Y20" i="11"/>
  <c r="Z20" i="11"/>
  <c r="X9" i="11"/>
  <c r="W9" i="11"/>
  <c r="Y9" i="11"/>
  <c r="Z9" i="11"/>
  <c r="AC9" i="11"/>
  <c r="W3" i="11"/>
  <c r="T20" i="11" l="1"/>
  <c r="X20" i="11" s="1"/>
  <c r="AD20" i="11"/>
  <c r="K18" i="11"/>
  <c r="K15" i="11"/>
  <c r="AC4" i="11"/>
  <c r="B36" i="11"/>
  <c r="F5" i="28"/>
  <c r="BA2" i="12" l="1"/>
  <c r="O25" i="12"/>
  <c r="O8" i="12" l="1"/>
  <c r="M33" i="12" l="1"/>
  <c r="J35" i="11" s="1"/>
  <c r="M19" i="12"/>
  <c r="J20" i="11" s="1"/>
  <c r="M8" i="12"/>
  <c r="J9" i="11" s="1"/>
  <c r="D47" i="6"/>
  <c r="L9" i="11" l="1"/>
  <c r="N8" i="12" s="1"/>
  <c r="L35" i="11"/>
  <c r="N33" i="12" s="1"/>
  <c r="BF33" i="12" s="1"/>
  <c r="AU33" i="12"/>
  <c r="AS33" i="12"/>
  <c r="AR33" i="12"/>
  <c r="AQ33" i="12"/>
  <c r="AT33" i="12"/>
  <c r="AT8" i="12"/>
  <c r="AQ19" i="12"/>
  <c r="AU8" i="12"/>
  <c r="AR19" i="12"/>
  <c r="AS19" i="12"/>
  <c r="AS8" i="12"/>
  <c r="AT19" i="12"/>
  <c r="AR8" i="12"/>
  <c r="AU19" i="12"/>
  <c r="AQ8" i="12"/>
  <c r="AL33" i="12" l="1"/>
  <c r="AJ33" i="12"/>
  <c r="AK33" i="12"/>
  <c r="AN33" i="12"/>
  <c r="AM33" i="12"/>
  <c r="AK8" i="12"/>
  <c r="AL8" i="12"/>
  <c r="AN8" i="12"/>
  <c r="BF8" i="12"/>
  <c r="AM8" i="12"/>
  <c r="AJ8" i="12"/>
  <c r="AV19" i="12"/>
  <c r="AV33" i="12"/>
  <c r="AV8" i="12"/>
  <c r="AO33" i="12" l="1"/>
  <c r="AO8" i="12"/>
  <c r="B5" i="11"/>
  <c r="O40" i="11"/>
  <c r="O39" i="11"/>
  <c r="O38" i="11"/>
  <c r="C48" i="6" l="1"/>
  <c r="D48" i="6" s="1"/>
  <c r="H5" i="28" l="1"/>
  <c r="B34" i="11"/>
  <c r="C7" i="28"/>
  <c r="F7" i="28"/>
  <c r="H7" i="28"/>
  <c r="B42" i="11"/>
  <c r="B40" i="11"/>
  <c r="B38" i="11"/>
  <c r="O41" i="11" l="1"/>
  <c r="F31" i="6" l="1"/>
  <c r="D44" i="6" l="1"/>
  <c r="D52" i="6" s="1"/>
  <c r="B20" i="11" l="1"/>
  <c r="D50" i="6"/>
  <c r="J23" i="6" s="1"/>
  <c r="Y33" i="11" l="1"/>
  <c r="Y32" i="11"/>
  <c r="X32" i="11"/>
  <c r="Z31" i="11"/>
  <c r="Y31" i="11"/>
  <c r="Z22" i="11"/>
  <c r="Y22" i="11"/>
  <c r="X22" i="11"/>
  <c r="Z21" i="11"/>
  <c r="Y21" i="11"/>
  <c r="Z19" i="11"/>
  <c r="Y19" i="11"/>
  <c r="X19" i="11"/>
  <c r="Z18" i="11"/>
  <c r="Y18" i="11"/>
  <c r="Z17" i="11"/>
  <c r="Y17" i="11"/>
  <c r="Z16" i="11"/>
  <c r="Y16" i="11"/>
  <c r="W16" i="11"/>
  <c r="Z15" i="11"/>
  <c r="X15" i="11"/>
  <c r="W15" i="11"/>
  <c r="Z14" i="11"/>
  <c r="X14" i="11"/>
  <c r="W14" i="11"/>
  <c r="Z11" i="11"/>
  <c r="X11" i="11"/>
  <c r="W11" i="11"/>
  <c r="Z10" i="11"/>
  <c r="Y10" i="11"/>
  <c r="W10" i="11"/>
  <c r="Z8" i="11"/>
  <c r="Y8" i="11"/>
  <c r="W8" i="11"/>
  <c r="Z5" i="11"/>
  <c r="X5" i="11"/>
  <c r="W5" i="11"/>
  <c r="Z4" i="11"/>
  <c r="X4" i="11"/>
  <c r="W4" i="11"/>
  <c r="Z3" i="11"/>
  <c r="X3" i="11"/>
  <c r="M2" i="12" l="1"/>
  <c r="AQ2" i="12" s="1"/>
  <c r="BA14" i="12"/>
  <c r="O36" i="12"/>
  <c r="O31" i="12"/>
  <c r="O24" i="12"/>
  <c r="O27" i="12"/>
  <c r="O19" i="12"/>
  <c r="O15" i="12"/>
  <c r="O9" i="12"/>
  <c r="M37" i="12"/>
  <c r="M36" i="12"/>
  <c r="M25" i="12"/>
  <c r="M26" i="12"/>
  <c r="M20" i="12"/>
  <c r="M15" i="12"/>
  <c r="M9" i="12"/>
  <c r="O2" i="12"/>
  <c r="O29" i="12"/>
  <c r="O21" i="12"/>
  <c r="O11" i="12"/>
  <c r="M39" i="12"/>
  <c r="M32" i="12"/>
  <c r="J34" i="11" s="1"/>
  <c r="L34" i="11" s="1"/>
  <c r="M23" i="12"/>
  <c r="M4" i="12"/>
  <c r="O37" i="12"/>
  <c r="O20" i="12"/>
  <c r="O10" i="12"/>
  <c r="M40" i="12"/>
  <c r="M38" i="12"/>
  <c r="M34" i="12"/>
  <c r="M28" i="12"/>
  <c r="M10" i="12"/>
  <c r="O40" i="12"/>
  <c r="O33" i="12"/>
  <c r="O30" i="12"/>
  <c r="O23" i="12"/>
  <c r="O22" i="12"/>
  <c r="O18" i="12"/>
  <c r="O14" i="12"/>
  <c r="O7" i="12"/>
  <c r="M35" i="12"/>
  <c r="M31" i="12"/>
  <c r="M24" i="12"/>
  <c r="M27" i="12"/>
  <c r="M18" i="12"/>
  <c r="M14" i="12"/>
  <c r="M7" i="12"/>
  <c r="O41" i="12"/>
  <c r="O39" i="12"/>
  <c r="O35" i="12"/>
  <c r="O28" i="12"/>
  <c r="O17" i="12"/>
  <c r="O4" i="12"/>
  <c r="M22" i="12"/>
  <c r="M11" i="12"/>
  <c r="O38" i="12"/>
  <c r="O32" i="12"/>
  <c r="O26" i="12"/>
  <c r="O16" i="12"/>
  <c r="O3" i="12"/>
  <c r="M29" i="12"/>
  <c r="J31" i="11" s="1"/>
  <c r="M21" i="12"/>
  <c r="M16" i="12"/>
  <c r="M3" i="12"/>
  <c r="D12" i="28"/>
  <c r="AU11" i="12" l="1"/>
  <c r="J12" i="11"/>
  <c r="L12" i="11" s="1"/>
  <c r="N11" i="12" s="1"/>
  <c r="AU24" i="12"/>
  <c r="AQ24" i="12"/>
  <c r="AR24" i="12"/>
  <c r="AS24" i="12"/>
  <c r="AT24" i="12"/>
  <c r="AR39" i="12"/>
  <c r="AS39" i="12"/>
  <c r="AT39" i="12"/>
  <c r="AU39" i="12"/>
  <c r="AQ39" i="12"/>
  <c r="AR32" i="12"/>
  <c r="AS32" i="12"/>
  <c r="AT32" i="12"/>
  <c r="AU32" i="12"/>
  <c r="AQ32" i="12"/>
  <c r="AR31" i="12"/>
  <c r="AS31" i="12"/>
  <c r="AT31" i="12"/>
  <c r="AU31" i="12"/>
  <c r="AQ31" i="12"/>
  <c r="AU27" i="12"/>
  <c r="AQ27" i="12"/>
  <c r="AR27" i="12"/>
  <c r="AS27" i="12"/>
  <c r="AT27" i="12"/>
  <c r="AQ37" i="12"/>
  <c r="AR37" i="12"/>
  <c r="AS37" i="12"/>
  <c r="AT37" i="12"/>
  <c r="AU37" i="12"/>
  <c r="AR22" i="12"/>
  <c r="AS22" i="12"/>
  <c r="AT22" i="12"/>
  <c r="AU22" i="12"/>
  <c r="AQ22" i="12"/>
  <c r="AU20" i="12"/>
  <c r="AS20" i="12"/>
  <c r="AQ20" i="12"/>
  <c r="AR20" i="12"/>
  <c r="AT20" i="12"/>
  <c r="AQ30" i="12"/>
  <c r="AR30" i="12"/>
  <c r="AT30" i="12"/>
  <c r="AS30" i="12"/>
  <c r="AU30" i="12"/>
  <c r="AR28" i="12"/>
  <c r="AS28" i="12"/>
  <c r="AT28" i="12"/>
  <c r="AU28" i="12"/>
  <c r="AQ28" i="12"/>
  <c r="AU26" i="12"/>
  <c r="AQ26" i="12"/>
  <c r="AS26" i="12"/>
  <c r="AR26" i="12"/>
  <c r="AT26" i="12"/>
  <c r="AT21" i="12"/>
  <c r="AU21" i="12"/>
  <c r="AQ21" i="12"/>
  <c r="AR21" i="12"/>
  <c r="AS21" i="12"/>
  <c r="AT34" i="12"/>
  <c r="AM34" i="12" s="1"/>
  <c r="AU34" i="12"/>
  <c r="AN34" i="12" s="1"/>
  <c r="AR34" i="12"/>
  <c r="AK34" i="12" s="1"/>
  <c r="AQ34" i="12"/>
  <c r="AJ34" i="12" s="1"/>
  <c r="AS34" i="12"/>
  <c r="AL34" i="12" s="1"/>
  <c r="AS25" i="12"/>
  <c r="AQ25" i="12"/>
  <c r="AT25" i="12"/>
  <c r="AU25" i="12"/>
  <c r="AR25" i="12"/>
  <c r="AQ29" i="12"/>
  <c r="AR29" i="12"/>
  <c r="AS29" i="12"/>
  <c r="AT29" i="12"/>
  <c r="AU29" i="12"/>
  <c r="AT38" i="12"/>
  <c r="AU38" i="12"/>
  <c r="AR38" i="12"/>
  <c r="AQ38" i="12"/>
  <c r="AS38" i="12"/>
  <c r="AT40" i="12"/>
  <c r="AU40" i="12"/>
  <c r="AR40" i="12"/>
  <c r="AQ40" i="12"/>
  <c r="AS40" i="12"/>
  <c r="AQ23" i="12"/>
  <c r="AR23" i="12"/>
  <c r="AS23" i="12"/>
  <c r="AT23" i="12"/>
  <c r="AU23" i="12"/>
  <c r="AT36" i="12"/>
  <c r="AU36" i="12"/>
  <c r="AQ36" i="12"/>
  <c r="AS36" i="12"/>
  <c r="AR36" i="12"/>
  <c r="J19" i="11"/>
  <c r="L20" i="11"/>
  <c r="BA15" i="12"/>
  <c r="BA16" i="12"/>
  <c r="BA3" i="12"/>
  <c r="BA9" i="12"/>
  <c r="AO34" i="12" l="1"/>
  <c r="N19" i="12"/>
  <c r="AL19" i="12" s="1"/>
  <c r="AV23" i="12"/>
  <c r="AV27" i="12"/>
  <c r="AV36" i="12"/>
  <c r="AV20" i="12"/>
  <c r="AV22" i="12"/>
  <c r="AV40" i="12"/>
  <c r="AV38" i="12"/>
  <c r="AV29" i="12"/>
  <c r="AV34" i="12"/>
  <c r="AV28" i="12"/>
  <c r="AV31" i="12"/>
  <c r="AV32" i="12"/>
  <c r="AV26" i="12"/>
  <c r="AV30" i="12"/>
  <c r="AV24" i="12"/>
  <c r="AV37" i="12"/>
  <c r="AV39" i="12"/>
  <c r="AV25" i="12"/>
  <c r="AV21" i="12"/>
  <c r="BB16" i="12"/>
  <c r="AV43" i="12" l="1"/>
  <c r="AM19" i="12"/>
  <c r="AN19" i="12"/>
  <c r="BF19" i="12"/>
  <c r="AJ19" i="12"/>
  <c r="AK19" i="12"/>
  <c r="AU2" i="12"/>
  <c r="AT2" i="12"/>
  <c r="AS2" i="12"/>
  <c r="AR2" i="12"/>
  <c r="AO19" i="12" l="1"/>
  <c r="AV2" i="12"/>
  <c r="J3" i="11"/>
  <c r="L3" i="11" s="1"/>
  <c r="AQ17" i="12" l="1"/>
  <c r="AU17" i="12"/>
  <c r="AS17" i="12"/>
  <c r="AT17" i="12"/>
  <c r="AR17" i="12"/>
  <c r="J18" i="11"/>
  <c r="AS9" i="12"/>
  <c r="AR9" i="12"/>
  <c r="AQ9" i="12"/>
  <c r="AU9" i="12"/>
  <c r="AT9" i="12"/>
  <c r="J10" i="11"/>
  <c r="J30" i="11"/>
  <c r="J24" i="11"/>
  <c r="AQ11" i="12"/>
  <c r="AT11" i="12"/>
  <c r="AS11" i="12"/>
  <c r="AR11" i="12"/>
  <c r="J25" i="11"/>
  <c r="J32" i="11"/>
  <c r="J26" i="11"/>
  <c r="AT15" i="12"/>
  <c r="AS15" i="12"/>
  <c r="AU15" i="12"/>
  <c r="AR15" i="12"/>
  <c r="AQ15" i="12"/>
  <c r="J16" i="11"/>
  <c r="J39" i="11"/>
  <c r="AR3" i="12"/>
  <c r="AU3" i="12"/>
  <c r="AT3" i="12"/>
  <c r="AS3" i="12"/>
  <c r="AQ3" i="12"/>
  <c r="J4" i="11"/>
  <c r="L4" i="11" s="1"/>
  <c r="AR16" i="12"/>
  <c r="AQ16" i="12"/>
  <c r="AU16" i="12"/>
  <c r="AT16" i="12"/>
  <c r="AS16" i="12"/>
  <c r="J17" i="11"/>
  <c r="J23" i="11"/>
  <c r="J36" i="11"/>
  <c r="J40" i="11"/>
  <c r="J42" i="11"/>
  <c r="AU14" i="12"/>
  <c r="AS14" i="12"/>
  <c r="AT14" i="12"/>
  <c r="AQ14" i="12"/>
  <c r="AR14" i="12"/>
  <c r="J15" i="11"/>
  <c r="J33" i="11"/>
  <c r="J22" i="11"/>
  <c r="J28" i="11"/>
  <c r="J41" i="11"/>
  <c r="AR7" i="12"/>
  <c r="AQ7" i="12"/>
  <c r="AT7" i="12"/>
  <c r="AS7" i="12"/>
  <c r="AU7" i="12"/>
  <c r="J8" i="11"/>
  <c r="AR18" i="12"/>
  <c r="AQ18" i="12"/>
  <c r="AU18" i="12"/>
  <c r="AT18" i="12"/>
  <c r="AS18" i="12"/>
  <c r="J27" i="11"/>
  <c r="J37" i="11"/>
  <c r="AT4" i="12"/>
  <c r="AR4" i="12"/>
  <c r="AU4" i="12"/>
  <c r="AQ4" i="12"/>
  <c r="AS4" i="12"/>
  <c r="J5" i="11"/>
  <c r="L5" i="11" s="1"/>
  <c r="J21" i="11"/>
  <c r="J38" i="11"/>
  <c r="AT10" i="12"/>
  <c r="AS10" i="12"/>
  <c r="AR10" i="12"/>
  <c r="AQ10" i="12"/>
  <c r="AU10" i="12"/>
  <c r="J11" i="11"/>
  <c r="AQ43" i="12" l="1"/>
  <c r="AT43" i="12"/>
  <c r="AS43" i="12"/>
  <c r="AU43" i="12"/>
  <c r="AR43" i="12"/>
  <c r="AV10" i="12"/>
  <c r="AV4" i="12"/>
  <c r="AV9" i="12"/>
  <c r="AV14" i="12"/>
  <c r="AV17" i="12"/>
  <c r="AV3" i="12"/>
  <c r="AV11" i="12"/>
  <c r="AV18" i="12"/>
  <c r="AV7" i="12"/>
  <c r="AV15" i="12"/>
  <c r="AV16" i="12"/>
  <c r="K42" i="11" l="1"/>
  <c r="K41" i="11"/>
  <c r="K40" i="11"/>
  <c r="K39" i="11"/>
  <c r="K38" i="11"/>
  <c r="K37" i="11"/>
  <c r="K32" i="11"/>
  <c r="S32" i="11" s="1"/>
  <c r="W32" i="11" s="1"/>
  <c r="K33" i="11"/>
  <c r="K31" i="11"/>
  <c r="K30" i="11"/>
  <c r="K27" i="11"/>
  <c r="K28" i="11"/>
  <c r="K23" i="11"/>
  <c r="S22" i="11"/>
  <c r="K17" i="11"/>
  <c r="T17" i="11" s="1"/>
  <c r="X17" i="11" s="1"/>
  <c r="K19" i="11"/>
  <c r="K21" i="11"/>
  <c r="K24" i="11"/>
  <c r="K25" i="11"/>
  <c r="K26" i="11"/>
  <c r="K16" i="11"/>
  <c r="K14" i="11"/>
  <c r="K11" i="11"/>
  <c r="K10" i="11"/>
  <c r="U3" i="11"/>
  <c r="AC24" i="11" l="1"/>
  <c r="AD24" i="11"/>
  <c r="S24" i="11"/>
  <c r="AD28" i="11"/>
  <c r="AC28" i="11"/>
  <c r="S28" i="11"/>
  <c r="W28" i="11" s="1"/>
  <c r="AC27" i="11"/>
  <c r="S27" i="11"/>
  <c r="W27" i="11" s="1"/>
  <c r="AD27" i="11"/>
  <c r="AC26" i="11"/>
  <c r="AD26" i="11"/>
  <c r="S26" i="11"/>
  <c r="W26" i="11" s="1"/>
  <c r="AC30" i="11"/>
  <c r="S30" i="11"/>
  <c r="W30" i="11" s="1"/>
  <c r="AD30" i="11"/>
  <c r="AC25" i="11"/>
  <c r="AD25" i="11"/>
  <c r="S25" i="11"/>
  <c r="AC15" i="11"/>
  <c r="U15" i="11"/>
  <c r="Y15" i="11" s="1"/>
  <c r="AD15" i="11"/>
  <c r="T10" i="11"/>
  <c r="X10" i="11" s="1"/>
  <c r="AC10" i="11"/>
  <c r="AC16" i="11"/>
  <c r="AD16" i="11"/>
  <c r="T16" i="11"/>
  <c r="X16" i="11" s="1"/>
  <c r="AD21" i="11"/>
  <c r="T21" i="11"/>
  <c r="X21" i="11" s="1"/>
  <c r="AC21" i="11"/>
  <c r="AC22" i="11"/>
  <c r="AD22" i="11"/>
  <c r="W22" i="11"/>
  <c r="S33" i="11"/>
  <c r="W33" i="11" s="1"/>
  <c r="AD33" i="11"/>
  <c r="AC33" i="11"/>
  <c r="AD31" i="11"/>
  <c r="AC31" i="11"/>
  <c r="S31" i="11"/>
  <c r="W31" i="11" s="1"/>
  <c r="AC32" i="11"/>
  <c r="AD32" i="11"/>
  <c r="AC17" i="11"/>
  <c r="AD17" i="11"/>
  <c r="AD11" i="11"/>
  <c r="U11" i="11"/>
  <c r="Y11" i="11" s="1"/>
  <c r="AC11" i="11"/>
  <c r="AC19" i="11"/>
  <c r="S19" i="11"/>
  <c r="W19" i="11" s="1"/>
  <c r="AD19" i="11"/>
  <c r="AD14" i="11"/>
  <c r="AC14" i="11"/>
  <c r="U14" i="11"/>
  <c r="Y14" i="11" s="1"/>
  <c r="T18" i="11"/>
  <c r="X18" i="11" s="1"/>
  <c r="AD18" i="11"/>
  <c r="AC18" i="11"/>
  <c r="U5" i="11"/>
  <c r="Y5" i="11" s="1"/>
  <c r="AC5" i="11"/>
  <c r="AC8" i="11"/>
  <c r="U4" i="11"/>
  <c r="Y4" i="11" s="1"/>
  <c r="Y3" i="11"/>
  <c r="AC3" i="11"/>
  <c r="L26" i="11"/>
  <c r="N25" i="12" s="1"/>
  <c r="BF25" i="12" s="1"/>
  <c r="B7" i="11"/>
  <c r="I29" i="11" s="1"/>
  <c r="U37" i="11" l="1"/>
  <c r="U38" i="11" s="1"/>
  <c r="U39" i="11" s="1"/>
  <c r="K29" i="11"/>
  <c r="W24" i="11"/>
  <c r="W25" i="11"/>
  <c r="X8" i="11"/>
  <c r="T37" i="11"/>
  <c r="V37" i="11"/>
  <c r="Z37" i="11" s="1"/>
  <c r="AJ25" i="12"/>
  <c r="AK25" i="12"/>
  <c r="AL25" i="12"/>
  <c r="AM25" i="12"/>
  <c r="AN25" i="12"/>
  <c r="F20" i="28" l="1"/>
  <c r="X37" i="11"/>
  <c r="AC29" i="11"/>
  <c r="AC37" i="11" s="1"/>
  <c r="S29" i="11"/>
  <c r="W29" i="11" s="1"/>
  <c r="AD29" i="11"/>
  <c r="AD37" i="11" s="1"/>
  <c r="Y37" i="11"/>
  <c r="AO25" i="12"/>
  <c r="L11" i="11"/>
  <c r="N10" i="12" s="1"/>
  <c r="S37" i="11" l="1"/>
  <c r="W37" i="11" s="1"/>
  <c r="BF10" i="12"/>
  <c r="BF11" i="12"/>
  <c r="AN11" i="12"/>
  <c r="AN10" i="12"/>
  <c r="L41" i="11"/>
  <c r="N39" i="12" s="1"/>
  <c r="L40" i="11"/>
  <c r="N38" i="12" s="1"/>
  <c r="L39" i="11"/>
  <c r="N37" i="12" s="1"/>
  <c r="L42" i="11"/>
  <c r="N40" i="12" s="1"/>
  <c r="L38" i="11"/>
  <c r="N36" i="12" s="1"/>
  <c r="L37" i="11"/>
  <c r="N35" i="12" l="1"/>
  <c r="BB25" i="12" s="1"/>
  <c r="AY25" i="12"/>
  <c r="AN35" i="12"/>
  <c r="AJ35" i="12"/>
  <c r="AK35" i="12"/>
  <c r="AL35" i="12"/>
  <c r="AM35" i="12"/>
  <c r="AA37" i="11"/>
  <c r="B17" i="11" s="1"/>
  <c r="BF38" i="12"/>
  <c r="AK38" i="12"/>
  <c r="AL38" i="12"/>
  <c r="AM38" i="12"/>
  <c r="AN38" i="12"/>
  <c r="AJ38" i="12"/>
  <c r="BF35" i="12"/>
  <c r="BF39" i="12"/>
  <c r="AN39" i="12"/>
  <c r="AJ39" i="12"/>
  <c r="AK39" i="12"/>
  <c r="AL39" i="12"/>
  <c r="AM39" i="12"/>
  <c r="BF40" i="12"/>
  <c r="AK40" i="12"/>
  <c r="AL40" i="12"/>
  <c r="AM40" i="12"/>
  <c r="AN40" i="12"/>
  <c r="AJ40" i="12"/>
  <c r="BF36" i="12"/>
  <c r="AJ36" i="12"/>
  <c r="AK36" i="12"/>
  <c r="AL36" i="12"/>
  <c r="AM36" i="12"/>
  <c r="AN36" i="12"/>
  <c r="BF37" i="12"/>
  <c r="AN37" i="12"/>
  <c r="AJ37" i="12"/>
  <c r="AK37" i="12"/>
  <c r="AM37" i="12"/>
  <c r="AL37" i="12"/>
  <c r="BA25" i="12" l="1"/>
  <c r="AO35" i="12"/>
  <c r="F11" i="28"/>
  <c r="AO38" i="12"/>
  <c r="AO37" i="12"/>
  <c r="AO40" i="12"/>
  <c r="AO39" i="12"/>
  <c r="AO36" i="12"/>
  <c r="AZ25" i="12"/>
  <c r="L22" i="11"/>
  <c r="N21" i="12" s="1"/>
  <c r="L15" i="11"/>
  <c r="N14" i="12" s="1"/>
  <c r="N4" i="12"/>
  <c r="BF4" i="12" s="1"/>
  <c r="N3" i="12"/>
  <c r="N2" i="12"/>
  <c r="AY33" i="12" l="1"/>
  <c r="B13" i="11"/>
  <c r="F13" i="28" s="1"/>
  <c r="F18" i="28" s="1"/>
  <c r="AZ33" i="12"/>
  <c r="BA33" i="12"/>
  <c r="BC33" i="12"/>
  <c r="BB33" i="12"/>
  <c r="BF14" i="12"/>
  <c r="BF3" i="12"/>
  <c r="AJ3" i="12"/>
  <c r="BF21" i="12"/>
  <c r="AJ21" i="12"/>
  <c r="AK21" i="12"/>
  <c r="AL21" i="12"/>
  <c r="AM21" i="12"/>
  <c r="AN21" i="12"/>
  <c r="BF2" i="12"/>
  <c r="AJ2" i="12"/>
  <c r="AN3" i="12"/>
  <c r="AN14" i="12"/>
  <c r="AN4" i="12"/>
  <c r="J17" i="28"/>
  <c r="L28" i="11"/>
  <c r="N27" i="12" s="1"/>
  <c r="BF27" i="12" s="1"/>
  <c r="BD33" i="12" l="1"/>
  <c r="AN12" i="12"/>
  <c r="AK12" i="12"/>
  <c r="AM12" i="12"/>
  <c r="AL12" i="12"/>
  <c r="AJ12" i="12"/>
  <c r="AO21" i="12"/>
  <c r="AM27" i="12"/>
  <c r="AN27" i="12"/>
  <c r="AJ27" i="12"/>
  <c r="AL27" i="12"/>
  <c r="AK27" i="12"/>
  <c r="AN2" i="12"/>
  <c r="AM2" i="12"/>
  <c r="AO12" i="12" l="1"/>
  <c r="AO27" i="12"/>
  <c r="AM14" i="12"/>
  <c r="AM10" i="12" l="1"/>
  <c r="AM3" i="12"/>
  <c r="AL14" i="12"/>
  <c r="AL10" i="12"/>
  <c r="AK10" i="12"/>
  <c r="AJ10" i="12"/>
  <c r="AK3" i="12"/>
  <c r="AL3" i="12"/>
  <c r="AJ14" i="12"/>
  <c r="AK14" i="12"/>
  <c r="AJ4" i="12"/>
  <c r="AL4" i="12"/>
  <c r="AK4" i="12"/>
  <c r="AM4" i="12"/>
  <c r="AL11" i="12"/>
  <c r="AM11" i="12"/>
  <c r="AJ11" i="12"/>
  <c r="AK11" i="12"/>
  <c r="AL2" i="12"/>
  <c r="AK2" i="12"/>
  <c r="C54" i="6" l="1"/>
  <c r="D54" i="6" s="1"/>
  <c r="D55" i="6" s="1"/>
  <c r="AO14" i="12"/>
  <c r="AO2" i="12"/>
  <c r="AO3" i="12"/>
  <c r="AO11" i="12"/>
  <c r="AO10" i="12"/>
  <c r="AO4" i="12"/>
  <c r="C24" i="28" l="1"/>
  <c r="I17" i="28"/>
  <c r="L8" i="11"/>
  <c r="L16" i="11"/>
  <c r="N15" i="12" s="1"/>
  <c r="L17" i="11"/>
  <c r="L18" i="11"/>
  <c r="L19" i="11"/>
  <c r="L21" i="11"/>
  <c r="N20" i="12" s="1"/>
  <c r="L24" i="11"/>
  <c r="N23" i="12" s="1"/>
  <c r="BF23" i="12" s="1"/>
  <c r="L25" i="11"/>
  <c r="N24" i="12" s="1"/>
  <c r="BF24" i="12" s="1"/>
  <c r="L23" i="11"/>
  <c r="N22" i="12" s="1"/>
  <c r="L27" i="11"/>
  <c r="N26" i="12" s="1"/>
  <c r="AY23" i="12" s="1"/>
  <c r="L30" i="11"/>
  <c r="N28" i="12" s="1"/>
  <c r="L31" i="11"/>
  <c r="L32" i="11"/>
  <c r="L33" i="11"/>
  <c r="N31" i="12" s="1"/>
  <c r="N32" i="12"/>
  <c r="BF32" i="12" s="1"/>
  <c r="N29" i="12" l="1"/>
  <c r="AN29" i="12" s="1"/>
  <c r="N18" i="12"/>
  <c r="BF18" i="12" s="1"/>
  <c r="N17" i="12"/>
  <c r="BF17" i="12" s="1"/>
  <c r="N16" i="12"/>
  <c r="AN16" i="12" s="1"/>
  <c r="BF26" i="12"/>
  <c r="BA23" i="12" s="1"/>
  <c r="I15" i="28" s="1"/>
  <c r="BB23" i="12"/>
  <c r="J15" i="28" s="1"/>
  <c r="BB22" i="12"/>
  <c r="J14" i="28" s="1"/>
  <c r="AY22" i="12"/>
  <c r="AZ22" i="12" s="1"/>
  <c r="BF15" i="12"/>
  <c r="AK26" i="12"/>
  <c r="AL26" i="12"/>
  <c r="AM26" i="12"/>
  <c r="AN26" i="12"/>
  <c r="AJ26" i="12"/>
  <c r="AN23" i="12"/>
  <c r="AJ23" i="12"/>
  <c r="AL23" i="12"/>
  <c r="AK23" i="12"/>
  <c r="AM23" i="12"/>
  <c r="BF31" i="12"/>
  <c r="AJ31" i="12"/>
  <c r="AK31" i="12"/>
  <c r="AL31" i="12"/>
  <c r="AM31" i="12"/>
  <c r="AN31" i="12"/>
  <c r="BF20" i="12"/>
  <c r="AK20" i="12"/>
  <c r="AL20" i="12"/>
  <c r="AM20" i="12"/>
  <c r="AN20" i="12"/>
  <c r="AJ20" i="12"/>
  <c r="AK24" i="12"/>
  <c r="AL24" i="12"/>
  <c r="AM24" i="12"/>
  <c r="AN24" i="12"/>
  <c r="AJ24" i="12"/>
  <c r="BF22" i="12"/>
  <c r="BA22" i="12" s="1"/>
  <c r="I14" i="28" s="1"/>
  <c r="AJ22" i="12"/>
  <c r="AK22" i="12"/>
  <c r="AL22" i="12"/>
  <c r="AN22" i="12"/>
  <c r="AM22" i="12"/>
  <c r="AJ32" i="12"/>
  <c r="AK32" i="12"/>
  <c r="AL32" i="12"/>
  <c r="AN32" i="12"/>
  <c r="AM32" i="12"/>
  <c r="AJ28" i="12"/>
  <c r="AK28" i="12"/>
  <c r="AL28" i="12"/>
  <c r="AM28" i="12"/>
  <c r="AN28" i="12"/>
  <c r="BF28" i="12"/>
  <c r="AN15" i="12"/>
  <c r="N7" i="12"/>
  <c r="AL15" i="12"/>
  <c r="AK15" i="12"/>
  <c r="AJ15" i="12"/>
  <c r="AM15" i="12"/>
  <c r="N30" i="12"/>
  <c r="L10" i="11"/>
  <c r="N9" i="12" s="1"/>
  <c r="BF9" i="12" s="1"/>
  <c r="B9" i="11" l="1"/>
  <c r="AK18" i="12"/>
  <c r="AL18" i="12"/>
  <c r="AY24" i="12"/>
  <c r="AM29" i="12"/>
  <c r="AL29" i="12"/>
  <c r="AJ29" i="12"/>
  <c r="BF29" i="12"/>
  <c r="AK29" i="12"/>
  <c r="AN17" i="12"/>
  <c r="AN18" i="12"/>
  <c r="AJ16" i="12"/>
  <c r="BB21" i="12"/>
  <c r="J13" i="28" s="1"/>
  <c r="AJ18" i="12"/>
  <c r="AM16" i="12"/>
  <c r="AM18" i="12"/>
  <c r="BB24" i="12"/>
  <c r="AK17" i="12"/>
  <c r="AL17" i="12"/>
  <c r="AJ17" i="12"/>
  <c r="AM17" i="12"/>
  <c r="AK16" i="12"/>
  <c r="BF16" i="12"/>
  <c r="BA21" i="12" s="1"/>
  <c r="I13" i="28" s="1"/>
  <c r="AY21" i="12"/>
  <c r="AZ21" i="12" s="1"/>
  <c r="AL16" i="12"/>
  <c r="AL13" i="12"/>
  <c r="AJ13" i="12"/>
  <c r="AN13" i="12"/>
  <c r="AK13" i="12"/>
  <c r="AM13" i="12"/>
  <c r="BB20" i="12"/>
  <c r="J12" i="28" s="1"/>
  <c r="AY20" i="12"/>
  <c r="AZ20" i="12" s="1"/>
  <c r="BF7" i="12"/>
  <c r="BA20" i="12" s="1"/>
  <c r="AO20" i="12"/>
  <c r="AO23" i="12"/>
  <c r="BF30" i="12"/>
  <c r="AL30" i="12"/>
  <c r="AM30" i="12"/>
  <c r="AN30" i="12"/>
  <c r="AK30" i="12"/>
  <c r="AJ30" i="12"/>
  <c r="AO22" i="12"/>
  <c r="AO31" i="12"/>
  <c r="AO32" i="12"/>
  <c r="AO28" i="12"/>
  <c r="AO24" i="12"/>
  <c r="AO26" i="12"/>
  <c r="AY31" i="12" s="1"/>
  <c r="BD31" i="12" s="1"/>
  <c r="AZ23" i="12"/>
  <c r="AN9" i="12"/>
  <c r="AO15" i="12"/>
  <c r="AN7" i="12"/>
  <c r="B3" i="11"/>
  <c r="D10" i="28" s="1"/>
  <c r="C10" i="28" s="1"/>
  <c r="AM7" i="12"/>
  <c r="AJ7" i="12"/>
  <c r="AL7" i="12"/>
  <c r="AK7" i="12"/>
  <c r="AK9" i="12"/>
  <c r="AL9" i="12"/>
  <c r="AJ9" i="12"/>
  <c r="AM9" i="12"/>
  <c r="AO29" i="12" l="1"/>
  <c r="BA24" i="12"/>
  <c r="AO18" i="12"/>
  <c r="AO16" i="12"/>
  <c r="AO17" i="12"/>
  <c r="AZ31" i="12"/>
  <c r="BA31" i="12"/>
  <c r="BB31" i="12"/>
  <c r="BC31" i="12"/>
  <c r="AN43" i="12"/>
  <c r="AK43" i="12"/>
  <c r="AL43" i="12"/>
  <c r="AJ43" i="12"/>
  <c r="AM43" i="12"/>
  <c r="AO13" i="12"/>
  <c r="BB26" i="12"/>
  <c r="J18" i="28" s="1"/>
  <c r="BA26" i="12"/>
  <c r="BB30" i="12"/>
  <c r="BA30" i="12"/>
  <c r="AY30" i="12"/>
  <c r="AZ30" i="12"/>
  <c r="BC30" i="12"/>
  <c r="BD22" i="12"/>
  <c r="AO30" i="12"/>
  <c r="AY32" i="12" s="1"/>
  <c r="J16" i="28"/>
  <c r="BC29" i="12"/>
  <c r="BD24" i="12"/>
  <c r="AZ24" i="12"/>
  <c r="AZ26" i="12" s="1"/>
  <c r="BD25" i="12"/>
  <c r="BD21" i="12"/>
  <c r="BD20" i="12"/>
  <c r="BD23" i="12"/>
  <c r="AO9" i="12"/>
  <c r="AO7" i="12"/>
  <c r="AY29" i="12" l="1"/>
  <c r="AZ29" i="12"/>
  <c r="BB29" i="12"/>
  <c r="BA29" i="12"/>
  <c r="BC20" i="12"/>
  <c r="BC25" i="12"/>
  <c r="BD30" i="12"/>
  <c r="BA32" i="12"/>
  <c r="BC32" i="12"/>
  <c r="BB32" i="12"/>
  <c r="AZ32" i="12"/>
  <c r="AO43" i="12"/>
  <c r="AY18" i="12" s="1"/>
  <c r="I12" i="28"/>
  <c r="BC28" i="12"/>
  <c r="AY28" i="12"/>
  <c r="BD29" i="12"/>
  <c r="BD26" i="12"/>
  <c r="AZ28" i="12"/>
  <c r="BB28" i="12"/>
  <c r="BA28" i="12"/>
  <c r="I16" i="28"/>
  <c r="BB18" i="12" l="1"/>
  <c r="AZ18" i="12"/>
  <c r="BA18" i="12"/>
  <c r="BD32" i="12"/>
  <c r="BC18" i="12"/>
  <c r="BC22" i="12"/>
  <c r="BD28" i="12"/>
  <c r="I18" i="28"/>
  <c r="BC23" i="12"/>
  <c r="BC21" i="12"/>
  <c r="BC24" i="12"/>
  <c r="BD18" i="12" l="1"/>
  <c r="BC26" i="12"/>
  <c r="C19" i="28"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Elina Inkiläinen</author>
    <author>Omistaja</author>
  </authors>
  <commentList>
    <comment ref="C23" authorId="0" shapeId="0" xr:uid="{A5FF6105-849B-D848-B032-D785576DF45E}">
      <text>
        <r>
          <rPr>
            <sz val="10"/>
            <color rgb="FF000000"/>
            <rFont val="Tahoma"/>
            <family val="2"/>
          </rPr>
          <t xml:space="preserve">Katso: RT 85-11204  
</t>
        </r>
        <r>
          <rPr>
            <sz val="10"/>
            <color rgb="FF000000"/>
            <rFont val="Tahoma"/>
            <family val="2"/>
          </rPr>
          <t xml:space="preserve">Viherkatot ja katto- ja kansipuutarhat, kasvillisuus ja kasvualusta; Taulukko 14.
</t>
        </r>
      </text>
    </comment>
    <comment ref="C24" authorId="0" shapeId="0" xr:uid="{041A56A9-A266-2946-A7AB-5433B5C0FB7D}">
      <text>
        <r>
          <rPr>
            <sz val="10"/>
            <color rgb="FF000000"/>
            <rFont val="Calibri"/>
            <family val="2"/>
          </rPr>
          <t xml:space="preserve">Katso: RT 85-11204  
</t>
        </r>
        <r>
          <rPr>
            <sz val="10"/>
            <color rgb="FF000000"/>
            <rFont val="Calibri"/>
            <family val="2"/>
          </rPr>
          <t>Viherkatot ja katto- ja kansipuutarhat, kasvillisuus ja kasvualusta; Taulukko 14.</t>
        </r>
      </text>
    </comment>
    <comment ref="C25" authorId="0" shapeId="0" xr:uid="{91FE0E58-16CC-3F47-B902-F16BCDF7B743}">
      <text>
        <r>
          <rPr>
            <sz val="10"/>
            <color rgb="FF000000"/>
            <rFont val="Calibri"/>
            <family val="2"/>
          </rPr>
          <t xml:space="preserve">Katso: RT 85-11204  
</t>
        </r>
        <r>
          <rPr>
            <sz val="10"/>
            <color rgb="FF000000"/>
            <rFont val="Calibri"/>
            <family val="2"/>
          </rPr>
          <t>Viherkatot ja katto- ja kansipuutarhat, kasvillisuus ja kasvualusta; Taulukko 14.</t>
        </r>
      </text>
    </comment>
    <comment ref="C31" authorId="1" shapeId="0" xr:uid="{00000000-0006-0000-0500-000001000000}">
      <text>
        <r>
          <rPr>
            <sz val="9"/>
            <color rgb="FF000000"/>
            <rFont val="Tahoma"/>
            <family val="2"/>
          </rPr>
          <t>Katso: Hagelberg, E., A. Karhunen, A. Kulmala, ja R. Larsson. "Käytännön kosteikkosuunnittelu [Wetland planning in practise]." Publications of the Teho Project 1 (2009): 2009.</t>
        </r>
      </text>
    </comment>
    <comment ref="C35" authorId="1" shapeId="0" xr:uid="{00000000-0006-0000-0500-000002000000}">
      <text>
        <r>
          <rPr>
            <sz val="9"/>
            <color rgb="FF000000"/>
            <rFont val="Tahoma"/>
            <family val="2"/>
          </rPr>
          <t>Läpäisemätön pinta, jolta sadevedet kerätään, m²; Menetelminä esim. pinnankallistukset, vesikourut, painanteet</t>
        </r>
      </text>
    </comment>
    <comment ref="C36" authorId="1" shapeId="0" xr:uid="{00000000-0006-0000-0500-000003000000}">
      <text>
        <r>
          <rPr>
            <sz val="9"/>
            <color rgb="FF000000"/>
            <rFont val="Tahoma"/>
            <family val="2"/>
          </rPr>
          <t>Läpäisemätön pinta, jolta sadevedet kerätään, m²</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Omistaja</author>
  </authors>
  <commentList>
    <comment ref="B31" authorId="0" shapeId="0" xr:uid="{00000000-0006-0000-0400-000002000000}">
      <text>
        <r>
          <rPr>
            <sz val="9"/>
            <color rgb="FF000000"/>
            <rFont val="Tahoma"/>
            <family val="2"/>
          </rPr>
          <t>Katso: Hagelberg, E., A. Karhunen, A. Kulmala, ja R. Larsson. "Käytännön kosteikkosuunnittelu [Wetland planning in practise]." Publications of the Teho Project 1 (2009): 2009.</t>
        </r>
      </text>
    </comment>
  </commentList>
</comments>
</file>

<file path=xl/sharedStrings.xml><?xml version="1.0" encoding="utf-8"?>
<sst xmlns="http://schemas.openxmlformats.org/spreadsheetml/2006/main" count="1111" uniqueCount="622">
  <si>
    <t>Painotus</t>
  </si>
  <si>
    <t>Elementit</t>
  </si>
  <si>
    <t>Painotettu pinta-ala</t>
  </si>
  <si>
    <t>Viherkerroin</t>
  </si>
  <si>
    <t>Ekologisuus</t>
  </si>
  <si>
    <t>Toiminnallisuus</t>
  </si>
  <si>
    <t>Kunnossapito</t>
  </si>
  <si>
    <t>Rajaukset</t>
  </si>
  <si>
    <t>Hulevesien hallintarakenteet</t>
  </si>
  <si>
    <t>Säilytettävä kasvillisuus</t>
  </si>
  <si>
    <t>Istutettava kasvillisuus</t>
  </si>
  <si>
    <t>Pinnoitteet</t>
  </si>
  <si>
    <t>Maisema-arvo</t>
  </si>
  <si>
    <t>Painotettu keskiarvo</t>
  </si>
  <si>
    <t>Osa-alueet</t>
  </si>
  <si>
    <t>Nro</t>
  </si>
  <si>
    <t>Yhteensä</t>
  </si>
  <si>
    <t>Viherkertoimen muodostuminen</t>
  </si>
  <si>
    <t>Bonuselementit</t>
  </si>
  <si>
    <t>Hulevesien sidonta ja puhdistus</t>
  </si>
  <si>
    <t>Helppohoitoiset ratkaisut</t>
  </si>
  <si>
    <t>Haastattelu-painotus (1-3)</t>
  </si>
  <si>
    <t>Asiantuntijahaastatteluista laskettu yleinen painotus osa-alueille</t>
  </si>
  <si>
    <t>Liittyminen ympäröivään kaupunkikuvaan, vaikutus maisemaan (esim. kukat ja marjat)</t>
  </si>
  <si>
    <t>Istutettava / kylvettävä kasvillisuus</t>
  </si>
  <si>
    <t>Istutettavalla pienemmällä pensaalla on samat hyödyt kuin istutettavalla suurella pensaalla, mutta pienemmässä mittakaavassa (kasvin ja kasvualustan koko). Pensailla on erityistä merkitystä elinympäristönä ja suojapaikkana monille pieneläimille.</t>
  </si>
  <si>
    <t>Istutettavalla isokokoisella pensaalla on samat hyödyt kuin istutettavilla puilla, mutta pienemmässä mittakaavassa (kasvin ja kasvualustan koko). Pensailla on erityistä merkitystä elinympäristönä ja suojapaikkana monille pieneläimille.</t>
  </si>
  <si>
    <t>Köynnökset tarjoavat samankaltaisen hyödyn pienilmastolle ja rakennusten energiankulutukselle kuin viherkatot.</t>
  </si>
  <si>
    <t>Istutettavalla pienempikokoisella pensaalla on samat hyödyt kuin isolla pensaalla. Pensailla voi olla merkitystä myös hyötyviljelylle.</t>
  </si>
  <si>
    <t>Istutettavilla perennoilla on samat hyödyt kuin pienemmilla istutettavilla pensailla.</t>
  </si>
  <si>
    <t>Nurmikko tarjoaa hyvät mahdollisuudet leikkimiseen. Nurmikon vaikutus pienilmaston säätelyssä on kuitenkin pieni (koko).</t>
  </si>
  <si>
    <t>Isokokoisella istutettavalla puulla on samat hyödyt kuin vastaavalla säilytettävällä puulla, mutta hyödyt realisoituvat usein vasta vuosien päästä. Istutettavan puun maisema-arvoa lisää kuitenkin mahdollisuus puulajin ja istutuspaikan määrittämiseen rakennukseen nähden, mikä ei ole mahdollista säilytettävällä kasvillisuudella.</t>
  </si>
  <si>
    <t>Isokokoisella istutettavalla puulla on samat hyödyt kuin vastaavalla säilytettävällä puulla, mutta hyödyt realisoituvat usein vasta vuosien päästä. Istutettavan puun hyötyjä pienilmaston säätelyssä lisää kuitenkin mahdollisuus puulajin ja istutuspaikan määrittämiseen rakennukseen nähden, mikä ei ole mahdollista säilytettävällä kasvillisuudella.</t>
  </si>
  <si>
    <t>Pienemmällä istutettavalla pensaalla on samat hyödyt kuin isommalla. Kasvin koon lisäksi maisema-arvoon vaikuttaa kuitenkin yhtä suuressa määrin lajivalinta, minkä vuoksi hyöty arvioidaan samaksi.</t>
  </si>
  <si>
    <t>Vakiintuneella, täysikasvuisena pienen koon saavuttavalla, puulla on samat hyödyt maisema-arvon kannalta kuin suurella puulla. Koko arvioidaan maiseman kannalta toissijaiseksi, sillä puiden säilyttäminen on sinänsä on arvokasta. Maisema-arvoon vaikuttaa merkittävästi säilytettävän kasvillisuuden kunto sekä laji. Syväjuuriset, metsässä kasvaneet puut (esim. mänty) sopeutuvat paremmin yksittäispuiksi kuin pintajuuriset puut (esim. kuusi), jotka usein ränsistyvät joutuessaan erilaisiin kasvuoloihin.</t>
  </si>
  <si>
    <t>Hoidettu nurmikko on siisti; hoitamattomana maisema-arvo vähenee merkittävästi. Muuhun matalaan kasvillisuuteen nähden yksipuolinen elementti.</t>
  </si>
  <si>
    <t>Sama arvioitu hyöty kuin köynnöksillä.</t>
  </si>
  <si>
    <t>Ei merkittävää kunnossapitotarvetta.</t>
  </si>
  <si>
    <t>Elementtityypit</t>
  </si>
  <si>
    <t>Puoliläpäisevä nurmikivi-pinnoite on siisti - maisema-arvoltaan verrattavissa nurmikkoon.</t>
  </si>
  <si>
    <t>Runsaan kasvillisuuden ansiosta merkitys pienilmaston säätelylle sekä luonnosta oppimiselle.</t>
  </si>
  <si>
    <t>Runsaan kasvillisuuden ansiosta merkitys pienilmaston säätelylle ja luonnosta oppimiselle. Toiminnallisuutta lisää osaltaan mahdollisuus puutarhanhoitoon.</t>
  </si>
  <si>
    <t>Koettu masema-arvo jakaa mielipiteitä. Kukinta lisää niityn ja kedon maisema-arvoa; "hallittu hoitamattomuus" ei kuitenkaan sovellu kaikkiin maankäyttötyyppeihin.</t>
  </si>
  <si>
    <t>Hyvin suunniteltuna sadepuutarha voi toimia edustavana maisemaelementtinä, jonka maisema-arvoa ajoittainen kuivuminen ei heikennä. Lajit tulee valita tästä lähtökohdasta.</t>
  </si>
  <si>
    <t>Maisema-arvo riippuu painanteen toteutustavasta. Tyypillisesti sora- ja nurmipeitteellä varustettu painanne verrattavissa kyseisien elementtien maisema-arvoon.</t>
  </si>
  <si>
    <t>Ei merkitystä pienilmaston tasaamiselle. Toiminnallisuutta lisää mahdollisuus muiden toimintojen sijoittamiseen kaivannon päälle.</t>
  </si>
  <si>
    <t>Ei merkitystä maisemalle</t>
  </si>
  <si>
    <t>Toiminnallisuutta lisää mahdollisuus hyödyntää hulevesiä kasvillisuuden hoidossa.</t>
  </si>
  <si>
    <t>Vesiaiheilla on huomattava merkitys maisemalle</t>
  </si>
  <si>
    <t>Viherpinnan kuluminen ja monikäyttöisyyden luomat vaatimukset lisäävät kunnossapidon tarvetta.</t>
  </si>
  <si>
    <t>Ei merkittävää maisema-arvoa</t>
  </si>
  <si>
    <t xml:space="preserve">Bonuselementit, max 1 piste/osa-alue </t>
  </si>
  <si>
    <t>Teollisuustoimintojen ja logistiikan alueet</t>
  </si>
  <si>
    <t>Kaupan- ja liikerakentamisen alueet</t>
  </si>
  <si>
    <t>Säilytettävä kasvillisuus ja maaperä</t>
  </si>
  <si>
    <t>Vakiintuneella, täysikasvuisena suuren koon saavuttavalla, puulla on erittäin suuri merkitys pienilmaston tasaamiselle ja puhdistamiselle sekä näkösuojana toimimiselle (etenkin, jos kyseessä havupuu)(11). Puusto voi suojata myös jonkin verran melulta (1), joskin vaikutus onkin enimmäkseen psykologinen (näkösuoja vähentää melun häiritsevyyttä). Merkittävä myös toiminnallisuuden kannalta, esim. virkistyskäyttö ja luonnosta oppiminen (9). Hyväkuntoisen puun säilyttämisessä ei ole turvallisuusriskejä, mikäli puun juuriston ja rungon suojauksesta huolehditaan rakennusvaiheessa. Huom. Syväjuuriset, metsässä kasvaneet puut (esim. mänty) sopeutuvat paremmin yksittäispuiksi kuin pintajuuriset puut (esim. kuusi), jotka usein ränsistyvät joutuessaan erilaisiin kasvuoloihin.</t>
  </si>
  <si>
    <t>Vakiintuneella, täysikasvuisena suuren koon saavuttavalla, puulla on erittäin suuri maisema-arvo, sillä se lieventää siirtymää rakentamattomasta maankäytöstä rakennettuun. Kaupunkimetsien on havaittu vaikuttavan positiivisesti tonttien hintoihin (3). Säilytettävä kasvillisuus on usein merkittävämpi maisemaelementti kuin istutettava kasvillisuus, jolla voi kestää useita vuosia vakiintua ja saavuttaa vastaava koko. Maisema-arvoon vaikuttaa merkittävästi säilytettävän kasvillisuuden kunto. Syväjuuriset, metsässä kasvaneet puut (esim. mänty) sopeutuvat paremmin yksittäispuiksi kuin pintajuuriset puut (esim. kuusi), jotka usein ränsistyvät joutuessaan erilaisiin kasvuoloihin.</t>
  </si>
  <si>
    <t>Hoitotarve kerran vuodessa tai harvemmin rakennusvaiheen suojaamisen jälkeen. Lannoitus (n. kerran vuodessa) sekä puun kunnon tarkkailu ja  vaarallisten oksien poisto  tarpeen alueilla, jossa puu voi kaatussaan aiheuttaa turvallisuusriskin. Terveydentilan heikentymisestä kertovat usein latvuston kellastuminen ja harventuminen sekä pienentyneet lehdet. Jalopuut kestävät tyypillisesti hyvin lahovikoja toisin kuin esimerkiksi koivu.</t>
  </si>
  <si>
    <t>3 = Suuri merkitys</t>
  </si>
  <si>
    <t>Sama hoitotarve kuin isolla säilytettävällä puulla.</t>
  </si>
  <si>
    <t>2 = Kohtalainen merkitys</t>
  </si>
  <si>
    <t>Samat hyödyt kuin säilytettävillä yli 3-metrisillä puilla, mutta pienemmässä mittakaavassa. Pensailla on erityistä merkitystä elinympäristönä ja suojapaikkana monille pieneläimille.</t>
  </si>
  <si>
    <t xml:space="preserve">Samat hyödyt toiminnallisuudelle kuin säilytettävillä yli 3-metrisillä puilla, mutta pienemmässä mittakaavassa. Pensaalla voi olla merkitystä myös hyötyviljelyn kannalta, mikäli kyseessä on esimerkiksi marjapensas. </t>
  </si>
  <si>
    <t xml:space="preserve">Samat hyödyt maisema-arvon kannalta kuin säilytettävillä yli 3-metrisillä puilla, mutta pienemmässä mittakaavassa. Maisema-arvoon vaikuttaa merkittävästi säilytettävän kasvillisuuden kunto. </t>
  </si>
  <si>
    <t>Hoitotarve muuten sama kuin yli 3-metrisillä säilytettävillä puilla, mutta pensailla suurempi lannoitus- ja leikkaustarve.</t>
  </si>
  <si>
    <t>1 = Vähäinen merkitys</t>
  </si>
  <si>
    <t>Vakiintuneella luonnontilaisella niityllä tai pohjakasvillisuudella on samat hyödyt kuin säilytettävillä puilla ja pensailla, mutta pienemmässä mittakaavassa. Niityllä ja luonnontilaisella pohjakasvillisuudella on erityistä merkitystä ravinnonlähteenä, elinympäristönä ja suojapaikkana monille pieneläimille. Pohjakasvillisuuden säilyttäminen on usein haastavaa, sillä kasvillisuus on tottunut tiettyihin kasvuolosuhteisiin (vrt. metsäkasvillisuus).</t>
  </si>
  <si>
    <t xml:space="preserve">Säilytettävällä niityllä tai pohjakasvillisuudella on samat hyödyt maisema-arvon kannalta kuin säilytettävillä pensailla. Maisema-arvoon vaikuttaa merkittävästi säilytettävän kasvillisuuden kunto.  </t>
  </si>
  <si>
    <t>Niityn niitto 1-2 kertaa vuodessa; säilytettävän pohjakasvillisuuden kunnossapitotarve vaatii lisäselvitystä.</t>
  </si>
  <si>
    <t>0 = Ei merkitystä</t>
  </si>
  <si>
    <t xml:space="preserve">Säilytettävä avokallio </t>
  </si>
  <si>
    <t>Kallio on erityisen tärkeä elinympäristö (4). Ekologisuudesta saatavia pisteitä vähentää läpäisemättömän pinnan negatiivinen merkitys hulevesien hallinnalle sekä hiilensidonnalle ja -varastoinnille. Kalliokasvillisuus on lisäksi erittäin herkkää kulumiselle, mikä vähentää sen ekologista arvoa, ellei kalliolla kulkua rajoiteta.</t>
  </si>
  <si>
    <t>Toiminnallisuutta lisää mahdollisuus virkistyskäyttöön ja luonnosta oppimiseen. Toiminnallisuutta vähentää kalliokasvillisuuden herkkyys kulumiselle, mistä johtuen mahdollinen suojaus tai kulun ohjaus (esim. portailla) voi olla tarpeen eroosion rajoittamiseksi ja turvallisuuden lisäämiseksi.</t>
  </si>
  <si>
    <t>Hoitotarve harvemmin kuin kerran vuodessa. Mahdollinen suojaus tai kulun ohjaus (esim. portailla) tarpeen eroosion rajoittamiseksi ja turvallisuuden lisäämiseksi.</t>
  </si>
  <si>
    <t>Hoitotarve 1-2 kertaa vuodessa. Lannoitus kerran vuodessa, minkä lisäksi leikkaus ja rungon suojaaminen kasvinsyöjiltä mahdollisesti tarpeen.</t>
  </si>
  <si>
    <t>3 = Hoitotarve harvemmin kuin kerran vuodessa</t>
  </si>
  <si>
    <t>Sama hoitotarve kuin isoilla puilla.</t>
  </si>
  <si>
    <t>2 = Hoitotarve 1-2 kertaa vuodessa</t>
  </si>
  <si>
    <t>Isot pensaat, à 3 m²; kasvualustan syvyys 0,6 m</t>
  </si>
  <si>
    <t>Istutettavalla isokokoisella pensaalla on samat hyödyt kuin istutettavilla puilla, mutta pienemmässä mittakaavassa (kasvin koko). Pensailla voi olla merkitystä myös hyötyviljelylle sekä tilanjakajina pihan toiminnoille.</t>
  </si>
  <si>
    <t>Isokokoisella istutettavalla pensaalla on samat hyödyt kuin istutettavalla pienellä puulla, mutta pienemmässä mittakaavassa (kasvin koko). Pensaat soveltuvat hyvin tilanjakajiksi pihan eri toimintojen välille.</t>
  </si>
  <si>
    <t>Hoitotarve jonkin verran suurempi kuin puilla. Arvioitu hoitotarve (leikkaus ja lannoitus) 2-3 kertaa vuodessa. Lisäksi rungon sekä lehvästön suojaaminen kasvinsyöjiltä mahdollisesti tarpeen.</t>
  </si>
  <si>
    <t>1 = Hoitotarve yli 3 kertaa vuodessa</t>
  </si>
  <si>
    <t>Muut pensaat, à 1,5 m²; kasvualustan syvyys 0,4 m</t>
  </si>
  <si>
    <t>Sama hoitotarve kuin isommilla pensailla.</t>
  </si>
  <si>
    <t>0 = Hoitotarve useammin kuin kerran kuukaudessa</t>
  </si>
  <si>
    <t>Perennoilla on vastaava maisema-arvo kuin pensailla: vaikka perennat ovat tyypillisesti pienempikokoisia, niillä on usein kestävämmät ja näyttävämmät kukinnot.</t>
  </si>
  <si>
    <t>Hyvin suunniteltu kasvillisuus ei vaadi hoitoa useammin kuin kerran kuukaudessa. Hoidon ja kastelun tarve vaihtelee kuitenkin huomattavasti lajin, istutuspaikan ja sateisuuden mukaan. Arvioitu hoitotarve keskimäärin yli 3 kertaa vuodessa. Lannoitus ja mahdollinen suojaaminen kasvinsyöjiltä tarpeen.</t>
  </si>
  <si>
    <t xml:space="preserve">Huom. Pisteytyksessä ei ole huomioitu kustannuksia (esim. käsityön tarvetta). </t>
  </si>
  <si>
    <t>Huom. Pisteytystä vähentää puutteellinen kokemus elementin kunnossapidosta Suomessa</t>
  </si>
  <si>
    <t>Viljelypalstat (kasvualustan syvyys riippuu viljeltävistä lajeista, vähintään 0,3 m)</t>
  </si>
  <si>
    <t>Viljelypalstat ovat erittäin merkittäviä toiminnallisuudelle, sillä ne tarjoavat mahdollisuuden hyötyviljelyyn ja luonnosta oppimiseen.</t>
  </si>
  <si>
    <t>Mahdollinen kukinta, marjat ja hedelmät lisäävät maisema-arvoa ja vaihtelua; viljelyn kausiluonteisuus ja mahdollinen hoitamattomuuden aiheuttama epäsiisteys vähentävät sitä (esimerkiksi perennoihin nähden).</t>
  </si>
  <si>
    <t>Viljelyyn soveltuvat alueet vaativat usein runsaasti hoitoa, mutta hoidosta vastaavat asukkaat. Taloyhtiölle koituva kunnosspitovastuu pienempi kuin esim. nurmikolla.</t>
  </si>
  <si>
    <t>Hoitotarve useammin kuin kerran kuukaudessa. Nurmikko vaatii tyypillisesti säännöllistä leikkausta ja lannoitusta, sekä kuivina kausina kastelua.</t>
  </si>
  <si>
    <t>Viherkatot ovat merkittäviä maisemalle, sillä ne lisäävät vehreyttä siellä, missä normaalisti olisi läpäisemätöntä pintaa. Lisäksi viherkatot näkyvät usein pidemmälle kuin esimerkiksi matalat perennat. Monilajiset ja esimerkiksi maksaruoho(Sedum)-peitteellä varustetut viherkatot ovat myös monivärisiä ja luovat vuodenaikaisvaihtelua. Mitä paksumpi kasvualusta viherkatolla on, sitä suurempi valikoima istutettavassa kasvillisuudessa on. Arvioitu perennoja vastaava maisema-arvo.</t>
  </si>
  <si>
    <t>Hoitotarve yli 3 kertaa vuodessa. Vaatii vedenpoistojärjestelmien ja kasvillisuuden hoitoa sekä roskien, puuntaimien ja lumen poistoa (10). Viherkaton lisääminen jälkikäteen rakennukseen vaatii usein kantavuuden lisäämistä rakenteellisilla muutoksilla.</t>
  </si>
  <si>
    <t xml:space="preserve">Maisema-arvo sama kuin paksummalla viherkatolla, mutta pienemmässä mittakaavassa, sillä ohuemmalle kasvualustalle ei ole mahdollista istuttaa yhtä monipuolista kasvillisuutta. </t>
  </si>
  <si>
    <t>Hoitotarve sama kuin paksummalla viherkatolla.</t>
  </si>
  <si>
    <t>Monivuotiset köynnökset, kasvualustan syvyys 0,6 m, vertikaalinen pinta-ala (à 2 m²)</t>
  </si>
  <si>
    <t>Köynnökset lisäävät vehreyttä siellä, missä normaalisti olisi läpäisemätöntä pintaa. Kukkivat/syysvärin saavat köynnökset tuovat väriä viherrakenteeseen. Arvioitu vähintään isokokoisia pensaita vastaava maisema-arvo</t>
  </si>
  <si>
    <t>Hoitotarve arvioitu vastaamaan pensaita. Tietyt köynnökset voivat rakennuksia vasten kasvaessaan vaurioittaa julkisivuja ja lisätä kunnostustarvetta.</t>
  </si>
  <si>
    <t>Hyvin suunnitellulla viherseinällä on sama arvioitu hyöty kuin köynnöksillä.</t>
  </si>
  <si>
    <t>Viherseinien toimivuudesta ei ole riittävästi kokemusta Suomessa kunnossapitotarpeen arvioimiseksi. Toimintojen säilyttämiseksi hoitotoimenpiteiden tarve voi kuitenkin olla merkittävä. Vaatii lisäselvityksiä. Lähtökohdaksi vertailuun otettu paljon hoitoa vaativa nurmikko.</t>
  </si>
  <si>
    <t>Hoitotarve yli 3 kertaa vuodessa. Puoliläpäisevien pinnoitteiden talvikunnossapito haasteellista (10). Suuri kiintoaineen tai roskien määrä heikentää pinnoitteen läpäisevyyttä.</t>
  </si>
  <si>
    <t xml:space="preserve">Hoitotarve harvemmin kuin kerran vuodessa. </t>
  </si>
  <si>
    <t>Hyvin suunniteltu sadepuutarha ei kärsi ajoitteisesta kuivumisesta. Kasvillisuuden ja muiden pintojen hoitotarpeeksi arvioitu 1-2 kertaa vuodessa (hoitotarve vaatii kuitenkin lisäselvitystä) (10)</t>
  </si>
  <si>
    <t>Elementtityyppi</t>
  </si>
  <si>
    <t>Hoitotarve riippuu toteutustavasta. Nurmipinta verrattavissa nurmikkoon (0,5), kiviainespintaa hoidettava harvemmin. Keskimääräinen hoitotarve (1-2 kertaa vuodessa/ kerran kuukaudessa) = 1. Vaatii roskien ja kiintoaineksen poistoa, suodattavan kerroksen läpäisevyyden ylläpitoa, kaivon lietepesän tyhjennystä (kerran vuodessa) (10)</t>
  </si>
  <si>
    <t>Koettu masema-arvo jakaa mielipiteitä. Soveltuu  väljään yhdyskuntarakenteeseen, jossa suositaan luonnonmukaisempaa kasvillisuutta.</t>
  </si>
  <si>
    <t>Kosteikkokasvillisuus vaatii jonkin verran hoitoa monipuolisen kasvivalikoiman säilyttämiseksi, umpeenkasvun estämiseksi ja toimivuuden takaamiseksi. Esim. Tasausaltaan ja purku-uomien tai -putkien puhdistamisesta  huolehdittava. Arvioitu tarve kasvillisuuden hoitoon ja rakenteiden toimivuuden varmistamiseen 1-2 kertaa vuodessa; ruoppaus 10-15 vuoden välein. (10)</t>
  </si>
  <si>
    <t>Hoitotarve verrattavissa imeytyskaivantoon. Sis: esim. salaojajärjestelmän huuhtominen ja kiintoaineksen poisto imumenetelmällä (10)</t>
  </si>
  <si>
    <t>Kunnossapitotarve riippuu rakenteesta. Vaatii todennäköisesti roskien poistoa ja vettä johtavien putkien puhdistamista 1-2 kertaa vuodessa tai useammin. (10)</t>
  </si>
  <si>
    <t>Arvioitu kunnossapitotarve 1-2 kertaa vuodessa tai useammin; riippuu rakennettavan vesiaiheen tyypistä. Usein vaatii roskien poistoa ja vesiaiheeseen johtavien putkien puhdistamista. (10)</t>
  </si>
  <si>
    <t>Merkitystä virkistyskäytölle (esim. hyötyviljelylle) ja luonnosta oppimiselle.</t>
  </si>
  <si>
    <t>Leikkimiseen tai urheiluun osoitettu läpäisevä pinta (esim. hiekka- tai sorapintaiset leikkipaikat, urheilukenttänurmi)</t>
  </si>
  <si>
    <t>Monikäyttöiset pinnat lisäävät toiminnallisuutta.</t>
  </si>
  <si>
    <t>Yhteensä, %</t>
  </si>
  <si>
    <t>Tavoitetaso</t>
  </si>
  <si>
    <t>Kysymys</t>
  </si>
  <si>
    <t>Vastaus</t>
  </si>
  <si>
    <t>Täytetty pinta-ala, m2</t>
  </si>
  <si>
    <t>Osuus kokonaispinta-alasta, %</t>
  </si>
  <si>
    <t>Täytetty lkm</t>
  </si>
  <si>
    <t>Kokonaislkm</t>
  </si>
  <si>
    <t>Osuus kokonaislkm:stä, %</t>
  </si>
  <si>
    <t>Lkm täytetty</t>
  </si>
  <si>
    <t>Tuloskortti</t>
  </si>
  <si>
    <t>Perennat</t>
  </si>
  <si>
    <t>Niitty tai keto</t>
  </si>
  <si>
    <t>Nurmikko</t>
  </si>
  <si>
    <t>Aylor, Donald. "Noise reduction by vegetation and ground." The Journal of the Acoustical Society of America 51 (1972): 197.</t>
  </si>
  <si>
    <t>Ferris, R., and J. W. Humphrey. "A review of potential biodiversity indicators for application in British forests." Forestry 72.4 (1999): 313-328.</t>
  </si>
  <si>
    <t>Meriluoto, Markku, and Timo Soininen. Metsäluonnon arvokkaat elinympäristöt. Metsälehti kustannus, 1998.</t>
  </si>
  <si>
    <t>Peuhu, E. and Siitonen, J. 2011. "Ontot puistopuut ovat merkittävä elinympäristö monimuotoiselle lahopuueliöstölle." (2011).</t>
  </si>
  <si>
    <t>Siitonen, Juha, et al. "Coarse woody debris and stand characteristics in mature managed and old-growth boreal mesic forests in southern Finland." Forest Ecology and Management 128.3 (2000): 211-225.</t>
  </si>
  <si>
    <t>Vanha-Majamaa, Ilkka, and Jyrki Jalonen. "Green tree retention in Fennoscandian forestry." Scandinavian Journal of Forest Research 16.S3 (2001): 79-90.</t>
  </si>
  <si>
    <t>Palmberg, Irmeli E., and Jari Kuru. "Outdoor activities as a basis for environmental responsibility." The Journal of Environmental Education 31.4 (2000): 32-36.</t>
  </si>
  <si>
    <t>Kuntaliiton hulevesiopas, 2012: http://www.kunnat.net/fi/asiantuntijapalvelut/yty/hulevesien_hallinta/Sivut/default.aspx</t>
  </si>
  <si>
    <t>Augusto, Laurent, Jacques Ranger, Dan Binkley, and Andreas Rothe. "Impact of several common tree species of European temperate forests on soil fertility." Annals of Forest Science 59, no. 3 (2002): 233-253.</t>
  </si>
  <si>
    <t>Bond, W. J. "Keystone species." Biodiversity and ecosystem function. Springer Berlin Heidelberg, 1993. 237-253.</t>
  </si>
  <si>
    <t>Burgess, Stephen SO, et al. "The redistribution of soil water by tree root systems." Oecologia 115.3 (1998): 306-311.</t>
  </si>
  <si>
    <t>http://www.metsavastaa.net/ilmansaasteet</t>
  </si>
  <si>
    <t>Lähteet (numeroituna elementtien selityksissä):</t>
  </si>
  <si>
    <t>Tavoitetaso:</t>
  </si>
  <si>
    <t>Isot pensaat  (à 3 m²)</t>
  </si>
  <si>
    <t>Monivuotiset köynnökset  (à 2 m²)</t>
  </si>
  <si>
    <t>Tontin pinta-ala, m²</t>
  </si>
  <si>
    <t>Rakennusten peittopinta-ala, m²</t>
  </si>
  <si>
    <t>Painotettu pinta-ala yht., m²</t>
  </si>
  <si>
    <t>Painotettu pinta-ala, m²</t>
  </si>
  <si>
    <t>Yksikkö</t>
  </si>
  <si>
    <t>m²</t>
  </si>
  <si>
    <t>kpl</t>
  </si>
  <si>
    <t xml:space="preserve">Muut pensaat  </t>
  </si>
  <si>
    <t xml:space="preserve">Varjostava pienikokoinen puu (à 15 m²) rakennuksen etelä- ja lounaispuolella (erityisesti lehtipuut) </t>
  </si>
  <si>
    <t xml:space="preserve">Varjostava isokokoinen puu (à 25 m²) rakennuksen etelä- ja lounaispuolella (erityisesti lehtipuut) </t>
  </si>
  <si>
    <t>Ohjeet työkalun käyttöön</t>
  </si>
  <si>
    <t>Elementin määritelmä</t>
  </si>
  <si>
    <t xml:space="preserve">Nieminen, M. ja Sundell, P.R. 2002. Kyläjoen eritasoliittymän perhosniittyjen uhanalaisten perhoslajien elinmahdollisuuksien selvitys ja seuranta 
</t>
  </si>
  <si>
    <t>Nieminen, M. ja Kaitila, J-P. "Saaristomeren kansallispuiston niittyjen ja hakojen perhoset." Metsähallituksen luonnonsuojelujulkaisuja, Sarja A: 111. (2000)</t>
  </si>
  <si>
    <t>Hagelberg, E., A. Karhunen, A. Kulmala, ja R. Larsson. "Käytännön kosteikkosuunnittelu [Wetland planning in practise]." Publications of the Teho Project 1 (2009): 2009.</t>
  </si>
  <si>
    <t>Päivämäärä</t>
  </si>
  <si>
    <t>Hulevesien määrällinen ja laadullinen hallinta</t>
  </si>
  <si>
    <t>Säilytettävä luonnonmukainen avokallio (ainakin osittain paljas kalliopinta, vähäisesti puustoa)</t>
  </si>
  <si>
    <t>Korttelinumero</t>
  </si>
  <si>
    <t>Tonttinumero</t>
  </si>
  <si>
    <t>Kerrosala, k-m²</t>
  </si>
  <si>
    <t>Osa-alueisiin kuuluvat toiminnot</t>
  </si>
  <si>
    <t>Yleinen painotus (1-3)</t>
  </si>
  <si>
    <t>C</t>
  </si>
  <si>
    <t>Vettä läpäisemätön pinta</t>
  </si>
  <si>
    <t>"TO HIDE" Pinta-ala, m²</t>
  </si>
  <si>
    <t>Sadanta mm</t>
  </si>
  <si>
    <t>Hulevesiratkaisun / Biosuodatusrakenteen paksuus keskisyvyys (m)</t>
  </si>
  <si>
    <t>-</t>
  </si>
  <si>
    <t>Hulevesi</t>
  </si>
  <si>
    <t>"TO HIDE" koko valumakerroin</t>
  </si>
  <si>
    <t>"TO HIDE" valumakerroin ilman säilyt.</t>
  </si>
  <si>
    <t>Monivuotiset hedelmäpuut ja marjapensaat ovat tärkeitä monimuotoisuudelle (pölyttäminen, ravintokasvina toimiminen), hiilensidonnalle ja hulevesien hallinnalle.</t>
  </si>
  <si>
    <t xml:space="preserve">Usein kasvukauden alussa kukkivat ja myöhemmin hedelmiä tuottavat puut ovat hyvin arvokkaita maisemalle. Marjoja tuottavat pensaat ovat hyvin arvokkaita maisemalle. </t>
  </si>
  <si>
    <t>Hedelmäpuut ja marjapensaat vaativat  hoitoa vähintään 2 kertaa vuodessa (lannoitus, leikkaus) minkä lisäksi ne on usein suojattava kasvinsyöjiltä.</t>
  </si>
  <si>
    <t>Valumakerroin C</t>
  </si>
  <si>
    <t>Tyrväinen, Liisa. "The amenity value of the urban forest: an application of the hedonic pricing method." Landscape and Urban planning 37.3 (1997): 211-222.</t>
  </si>
  <si>
    <t>Rosenvald, Raul, and Asko Lohmus. "For what, when, and where is green-tree retention better than clear-cutting? A review of the biodiversity aspects." Forest Ecology and Management 255.1 (2008): 1-15.</t>
  </si>
  <si>
    <t>Kremen, Claire, and Richard S. Ostfeld. "A call to ecologists: measuring, analyzing, and managing ecosystem services." Frontiers in Ecology and the Environment 3.10 (2005): 540-548.</t>
  </si>
  <si>
    <t>Osuus painotetusta kokonaispinta-alasta, %</t>
  </si>
  <si>
    <t>Valuma-kerroin C</t>
  </si>
  <si>
    <t>Läpäisemättömän pinnan osuus</t>
  </si>
  <si>
    <t>Lampi, kosteikko tai tulvaniitty luonnonmukaisella kasvillisuudella (ainakin osan vuodesta pysyvä vesipinta; muun ajan maa pysyy kosteana)</t>
  </si>
  <si>
    <t>Läpäisevät pinnoitteet (esim. sora- ja hiekkapinnat)</t>
  </si>
  <si>
    <t>Vakiintuneella pienellä puulla on samat hyödyt kuin suurella puulla, mutta pienemmässä mittakaavassa.</t>
  </si>
  <si>
    <t xml:space="preserve">Samat hyödyt kuin säilytettävillä yli 3-metrisillä puilla, mutta pienemmässä mittakaavassa. </t>
  </si>
  <si>
    <t>Vakiintuneella luonnontilaisella niityllä tai pohjakasvillisuudella on samat hyödyt kuin säilytettävillä puilla ja pensailla, mutta pienemmässä mittakaavassa.</t>
  </si>
  <si>
    <t>Istutettavalla isokokoisella pensaalla on samat hyödyt kuin istutettavilla puilla, mutta pienemmässä mittakaavassa (kasvin ja kasvualustan koko).</t>
  </si>
  <si>
    <t>Istutettavalla pienemmällä pensaalla on samat hyödyt kuin istutettavalla suurella pensaalla, mutta pienemmässä mittakaavassa (kasvin ja kasvualustan koko).</t>
  </si>
  <si>
    <t>Istutettavilla perennoilla on samat hyödyt kuin elementillä "Muut pensaat", mutta niihin liittyy usein suurempi kasvualustan koko.</t>
  </si>
  <si>
    <t>Keskinkertainen merkitys hulevesien hallinnalle.</t>
  </si>
  <si>
    <t>Nurmikolla on merkitystä hulevesien hallinnalle, mutta pienemmässä määrin kuin esimerkiksi perennoilla (kasvin ja kasvualustan koko)</t>
  </si>
  <si>
    <t>Viherseinällä, joka ei ole kytkeytynut kasvualustaan, on pienempi merkitys hulevesien hallinnalle kuin köynnöksillä. Vaatii lisäselvitystä.</t>
  </si>
  <si>
    <t>Viherseinän ekologinen arvo riippuu toteutustavasta ja sijainnista. Vaatii lisäselvitystä.</t>
  </si>
  <si>
    <t>Puoliläpäisevä pinta, jossa kuitenkin haihduttavaa ja hiiltä sitovaa kasvillisuutta, soveltuu kohtalaisesti hulevesien hallintaan (10).</t>
  </si>
  <si>
    <t>Pienempi merkitys monimuotoisuudelle ja hiilensidonnalle kuin sadepuutarhalla.</t>
  </si>
  <si>
    <t xml:space="preserve">Erittäin suuri merkitys hulevesien määrälliselle ja laadulliselle hallinnalle (10). </t>
  </si>
  <si>
    <t>Ei merkitystä monimuotoisuudelle ja hiilensidonnalle. Toisaalta vapauttaa tilaa kasvillisuudelle tai muulle maankäytölle maan pinnalla.</t>
  </si>
  <si>
    <t xml:space="preserve">Pienempi merkitys pienvesien virtaamien tasaamisessa ja eroosion ehkäisyssä kuin imeytyspainanteella. </t>
  </si>
  <si>
    <t>Sama merkitys pienilmaston säätelylle ja luonnosta oppimiselle kuin saadepuutarhalla.</t>
  </si>
  <si>
    <t>Merkitystä erityisesti monimuotoisuudelle, mutta myös hiilensidonnalle.</t>
  </si>
  <si>
    <t>Isokokoisella istutettavalla puulla on samakaltaiset hyödyt kuin vastaavalla säilytettävällä puulla, mutta hyödyt realisoituvat usein vasta vuosien päästä.</t>
  </si>
  <si>
    <t>Pienikokoisella istutettavalla puulla on samankaltaiset hyödyt kuin istutettavalla isolla puulla, mutta pienemmässä mittakaavassa (kasvin ja kasvualustan koko).</t>
  </si>
  <si>
    <t>Istutettavalla pienemmällä pensaalla on samankaltiaset hyödyt kuin istutettavalla suurella pensaalla, mutta pienemmässä mittakaavassa (kasvin ja kasvualustan koko).</t>
  </si>
  <si>
    <t>Merkitys hiilensidonnalle ja monimuotoisuudelle.</t>
  </si>
  <si>
    <t>Vakiintuneella, täysikasvuisena suuren koon saavuttavalla, puulla on erittäin suuri merkitys hulevesien hallinnalle juuriston sitoman veden ja latvuston varastoiman sadeveden (interseptiohaihdunnan) ansiosta (11).</t>
  </si>
  <si>
    <t>Imeytyspainanne soveltuu hyvin hulevesien määrän ja laadun hallintaan (10).</t>
  </si>
  <si>
    <t>Biosuodatuspainanne tai -allas</t>
  </si>
  <si>
    <t>Samat toiminnot kuin sadepuutarhalla, kosteikolla tai imeytyspainanteella.</t>
  </si>
  <si>
    <t xml:space="preserve">Hulevesien hallinnan potentiaali sama kuin paksummalla viherkatolla, mutta pienemmässä mittakaavassa ohuemman kasvualustan vuoksi. </t>
  </si>
  <si>
    <t>Viherkatot ovat hulevesien hallinnan osalta verrattavissa nurmikon kaltaiseen matalaan kasvillisuuteen. Viherkatto yli 0,3 m syvällä kasvualustalla on kuitenkin merkittävämpi hulevesien hallinnalle kuin nurmikko (0,05-0,2 m kasvualusta). Soveltuu hyvin hulevesien määrän hallintaan (10).</t>
  </si>
  <si>
    <t>Niityn vaatima kasvualusta on ohuempi kuin perennoilla, mistä johtuen sen merkitys hulevesien hallinnalle on pienempi.</t>
  </si>
  <si>
    <t>Maisema-arvo sama kuin paksummalla viherkatolla, mutta pienemmässä mittakaavassa. Ei kuitenkaan siinä määrin havaittavaa eroa, että vaikuttaisi painotukseen.</t>
  </si>
  <si>
    <t xml:space="preserve">Toiminnallisuus sama kuin paksummalla viherkatolla, mutta pienemmässä mittakaavassa. Ei kuitenkaan siinä määrin havaittavaa eroa, että vaikuttaisi painotukseen. </t>
  </si>
  <si>
    <t>Viherkatot vähentävät rakennusten enengiankulutusta ja tämän myötä kasvihuonekaasupäästöjä. Viherkatot tarjoavat elinympäristöjä ja ravintoa muun muassa erilaisille hyönteislajeille sekä niitä ravintonaan käyttäville linnuille.</t>
  </si>
  <si>
    <t>Puoliläpäisevät pinnoitteet (esim. nurmikivi, kivituhka, kasvualusta 0,3 m)</t>
  </si>
  <si>
    <t xml:space="preserve">Toiminnallisuus sama kuin paksummalla viherkatolla, mutta pienemmässä mittakaavassa, sillä ohuemmalle kasvualustalle ei ole mahdollista istuttaa yhtä monipuolista kasvillisuutta. </t>
  </si>
  <si>
    <t>Viherkatot ovat toiminnallisuuden osalta verrattavissa nurmikon kaltaiseen matalaan kasvillisuuteen. Viherkatot tarjoavat esimerkiksi mahdollisuuden hyötyviljelyyn ja vähentävät ilman epäpuhtauksia.</t>
  </si>
  <si>
    <t>Läpäisevä hiekka- ja sorapinta on selkeä eikä vaadi paljoa hoitoa näyttääkseen siistiltä. Viherrakenteen kannalta kuitenkin epäedullinen elementti, sillä vähentää tontin vehreyttä.</t>
  </si>
  <si>
    <t>Parempi hulevesien läpäisevyys kuin nurmikivellä, muttä yleensä vähemmän kuin säilytettävillä luonnonmukaisilla pohjilla.</t>
  </si>
  <si>
    <t>Avokallio on yleensä läpäisemätön ja näin ollen suurentaa valumakerrointa ja samalla hulevesien määrää.</t>
  </si>
  <si>
    <t>Huomioitavat asiat:</t>
  </si>
  <si>
    <t>Täyttäjän kommentit:</t>
  </si>
  <si>
    <t>Viivytys ja pidätys</t>
  </si>
  <si>
    <t>Biosuodatus</t>
  </si>
  <si>
    <t>TULOKSET-välilehdelle tulostuvat "Huomioitavat asiat":</t>
  </si>
  <si>
    <t>RAJAUKSET-välilehdelle tulostuvat "Huomioitavat asiat":</t>
  </si>
  <si>
    <t>VIHERKERROIN-välilehdelle tulostuvat (elementteihin liittyvät) "Huomioitavat asiat":</t>
  </si>
  <si>
    <t>Suunnitelmaan sisällytetyt elementit</t>
  </si>
  <si>
    <t>Täyttäjän nimi</t>
  </si>
  <si>
    <t>Kohteen nimi (osoite)</t>
  </si>
  <si>
    <t>Hulevesien hallintaratkaisun keskisyvyyden laskenta</t>
  </si>
  <si>
    <t>esim. viivytys- tai pidätysrakenteen pysyvän vesipinnan (ja ylivuotoputken) yläpuolinen kerros; biosuodatusrakenteen kasvualustan yläpuolelle muodostuva lammikoitumisalue</t>
  </si>
  <si>
    <t>Korttelin / tontin pinta-ala, m²</t>
  </si>
  <si>
    <t>Rakennusten peittämä ala suhteessa pinta-alaan</t>
  </si>
  <si>
    <t>Kerrosalan suhde pinta-alaan (tehokkuusluku)</t>
  </si>
  <si>
    <t xml:space="preserve"> -</t>
  </si>
  <si>
    <t xml:space="preserve">Kohteen nimi (osoite) </t>
  </si>
  <si>
    <t>Laskennassa huomioitavat asiat</t>
  </si>
  <si>
    <t xml:space="preserve">piilotettava alue; ei lukitusta, jotta logiikka toimii. </t>
  </si>
  <si>
    <t>Ohjeet</t>
  </si>
  <si>
    <t>Seuraava</t>
  </si>
  <si>
    <t>Aloita</t>
  </si>
  <si>
    <t>Edellinen</t>
  </si>
  <si>
    <t>Lisätietoa</t>
  </si>
  <si>
    <t>i</t>
  </si>
  <si>
    <t>Takaisin</t>
  </si>
  <si>
    <t>Takaisin: Viherkerroin</t>
  </si>
  <si>
    <t>Ekologisuus sama kuin paksummalla viherkatolla, mutta pienemmässä mittakaavassa.</t>
  </si>
  <si>
    <t>Samaa merkitystä hiilensidonnalle ja luonnon monimuotoisuudelle kuin viivytys- tai pidätysaltaalla.</t>
  </si>
  <si>
    <t>Biosuodatuspainanne tai -allas (esim. tienvarsipainanne)</t>
  </si>
  <si>
    <t>Monivuotiset köynnökset ovat verrattavissa ekologisuuden osalta suuriin pensaisiin.</t>
  </si>
  <si>
    <t>Suunniteltu maankäyttö</t>
  </si>
  <si>
    <t>TULOKSET: jää viivyttämättä, m3:</t>
  </si>
  <si>
    <t>Hulevesirakennetarkistus ja huomiot:</t>
  </si>
  <si>
    <t>Viivytyskaivanto tai -säiliö (maanalainen, huom. yksikkö on tilavuus!)</t>
  </si>
  <si>
    <t>1) Siirtymät sivujen välillä</t>
  </si>
  <si>
    <t>2) Rajaukset</t>
  </si>
  <si>
    <t>3) Viherkerroinlaskenta</t>
  </si>
  <si>
    <t>4) Hulevesimäärän laskenta</t>
  </si>
  <si>
    <t>Köynnökset lisäävät vehreyttä siellä, missä normaalisti olisi läpäisemätöntä pintaa. Kukkivat/syysvärin saavat köynnökset tuovat väriä viherrakenteeseen. Arvioitu vähintään isokokoisia pensaita vastaava maisema-arvo.</t>
  </si>
  <si>
    <t>Leikkimiseen tai urheiluun osoitettu läpäisevä pinta (esim. hiekka-, hake- tai sorapintaiset leikkipaikat, urheilukenttänurmi)</t>
  </si>
  <si>
    <t>Kuvat: Mari Ariluoma, Eeva Eitsi, Elisa Lähde, Caroline Moinel, Suvi Tyynilä</t>
  </si>
  <si>
    <t>Suunnitellut hulevesiratkaisut</t>
  </si>
  <si>
    <t>viivytystilavuustarve m3/m2</t>
  </si>
  <si>
    <t>Säilytettävä luonnonmukainen pohjakasvillisuus</t>
  </si>
  <si>
    <t>Säilytettävä pintamaa ja kasvillisuus rakennetulla alueella (esim. nurmikko)</t>
  </si>
  <si>
    <t>Kuntta</t>
  </si>
  <si>
    <t>Viherkatot ja julkisivukasvillisuus</t>
  </si>
  <si>
    <t>Viherkatot ja julkisivu-kasvillisuus</t>
  </si>
  <si>
    <t>Sadeveden kerääminen kastelutarkoitukseen</t>
  </si>
  <si>
    <t>ä.öl</t>
  </si>
  <si>
    <t>Puoliläpäisevät pinnoitteet (esim. nurmikivi ja kivituhka)</t>
  </si>
  <si>
    <t>Viljelypalstat ja viljelylaatikot</t>
  </si>
  <si>
    <t>Hiilensidonta ja -varastointi, lajien ja elinympäristöjen monimuotoisuus, ekologinen verkosto, pienilmaston tasaaminen ja puhdistus (viilentäminen, ilman epäpuhtauksien sidonta, melun ja tuulisuuden vähentäminen, näkösuoja)</t>
  </si>
  <si>
    <t>Ruoantuotanto hyötyviljelyllä, oppiminen luonnosta, leikkiminen, turvallisuus</t>
  </si>
  <si>
    <t>Pintamaan säilyttämisellä taataan maahan kertyneen hiilivaraston ja maaperäeliöstön säilyminen. Vanhoilla, monilajisiksi kehittyneillä nurmikoilla on huomattavasti suurempi merkitys monimuotoisuudelle kuin vastaperustetulla, tehohoidetuilla nurmikoilla.</t>
  </si>
  <si>
    <t>Samat hyödyt toiminnallisuudelle kuin istutettavalla nurmikolla.</t>
  </si>
  <si>
    <t>Alkuperäisellä tontin pinnanmuodolla ja erityisesti vanhalla nurmikolla on maisemallista arvoa. Maisema-arvoon vaikuttaa merkittävästi säilyvän kasvillisuuden kunto.</t>
  </si>
  <si>
    <t>Kunnossapito- ja hoitotarve sama kuin nurmikolla, mutta perustamisvaiheen tehokkaamman hoidon jaksoa ei tarvita.</t>
  </si>
  <si>
    <t xml:space="preserve">Samat hyödyt kuin perustettavalla nurmikolla. </t>
  </si>
  <si>
    <t>Samat hyödyt toiminnallisuudelle kuin säilytettävillä puilla ja pensailla, mutta pienemmässä mittakaavassa. Mahdollinen herkkyys kulumiselle vähentää toiminnallisuutta.</t>
  </si>
  <si>
    <t>Avokallion maisema-arvo on huomattava. Kallion maisema-arvoa ei voi toisintaa keinotekoisesti jälkeenpäin, mistä johtuen se tulisi säilyttää maisemassa aina kun mahdollista.</t>
  </si>
  <si>
    <t>Istutettavilla perennoilla on samat hyödyt kuin elementillä "Muut pensaat", mutta niihin liittyy usein suurempi kasvualustan koko. Perennat tarjoavat ravintoa, elinympäristöjä ja suojapaikkoja monille pieneläimille.</t>
  </si>
  <si>
    <t>Niityt ja kedot (kuivat niityt) ovat luonnonmukaisempi (vähemmän hoitoa vaativa) ja monilajisempi vaihtoehto nurmikolle. Kokonaisuudessaan samansuuruinen ekologinen merkitys kuin perennoilla. Niityllä on erityistä merkitystä monimuotoisuudelle mm. pölyttäjiä houkuttelevien kukkivien kasvien ansiosta (13).</t>
  </si>
  <si>
    <t>Niittyjen tarjoama hyöty pienilmastolle vastaa perennoja. Niitty voi kuitenkin tarjota paremmat mahdollisuudet oppia luonnosta. Niittyä voi käyttää myös oleskeluun tietyin rajoituksin.</t>
  </si>
  <si>
    <t>Vakiintumisen (niitto muutaman kerran kesässä) jälkeen vaatii hoitoa 1-2 kertaa kesässä, kuivat kedot jopa harvemmin. Niityt ja kedot vaativat vähemmän hoitoa kuin esimerkiksi perennat tai nurmikko.</t>
  </si>
  <si>
    <t>Viljelypalstat koostuvat usein yksivuotisista lajeista, joten niiden ekologinen merkitys painottuu kasvukaudelle, jolloin suuri merkitys pölyttäjille ja lajien monimuotoisuudelle.  Pienempi merkitys kuin esim. perennoilla, mm. siksi, että kukkivia mesikasveja on suhteessa vähemmän.</t>
  </si>
  <si>
    <t>Kuntta on luonnonmukaisempi, monilajisempi ja vähemmän hoitoa vaativa vaihtoehto nurmikolle. Kuntan kasvit tarjoavat ravintoa, elinympäristöjä ja suojapaikkoja monille pieneläimille. Kuntan ekologisuutta vähentää sen keräyksen ja kuljetuksen hiilijalanjälki. On syytä huolehtia, että tilattava kuntta on varmasti kerätty muutoinkin tuhoutuvasta kohteesta.</t>
  </si>
  <si>
    <t>Samat hyödyt kuin säilyvällä luonnonmukaisella pohjakasvillisuudella, mutta toiminnallisuutta vähentää kulumisherkkyys.</t>
  </si>
  <si>
    <t>Kuntalla on vastaava maisema-arvo kuin perennoilla ja pensailla. Kuntan erityisarvo on sen merkitys suomalaisessa maisemassa.</t>
  </si>
  <si>
    <t>Kuntan hyödyt ovat samat kuin perennoilla tai istutettavalla pensaalla.</t>
  </si>
  <si>
    <t>Hoitotarve kuntan siirtämisen jälkeen melko suuri, sillä kuntta tarvitsee paljon kastelua juurtuakseen kasvualustaan. Myöhemmin hoidon tarve vähäinen, enimmäkseen ei-toivottujen siemenrikkakasvien ym. poistamista.</t>
  </si>
  <si>
    <t>Nurmikolla on merkitystä monimuotoisuudelle, mutta pienemmässä määrin kuin esimerkiksi kuntalla (mm. lajimäärä ja mesikasvien määrä pienempi). Vaatii tyypillisesti säännöllistä hoitoa, kuten kastelua ja koneellista leikkaamista, mikä vähentää sen ekologisuutta.</t>
  </si>
  <si>
    <t>Ei juurikaan merkitystä monimuotoisuudelle tai hiilensidonnalle. Nurmikiviin tai kivituhkan päälle syntyvällä pienimuotoisella kasvillisuudella on kuitenkin läpäisemätöntä pintaa enemmän vaikutusta monimuotoisuuteen ja hiilensidontaan.</t>
  </si>
  <si>
    <t>Sama toiminnallisuus kuin nurmikolla, mutta pienilmaston säätelyvaikutus on pienempi.</t>
  </si>
  <si>
    <t>Ei juurikaan merkitystä monimuotoisuudelle tai hiilensidonnalle. Läpäisevän pinnoitteen päälle syntyvällä pienimuotoisella kasvillisuudella on kuitenkin läpäisemätöntä pintaa enemmän vaikutusta monimuotoisuuteen ja hiilensidontaan.</t>
  </si>
  <si>
    <t>Lajiston monimuotoisuuden kannalta erittäin merkittävä. Runsaan kasvillisuuden ansiosta myös merkitystä hiilensidonnalle. Ekologisuutta lisää mahdollisuus hyödyntää hulevedet puutarhanhoidossa. Huom. Vieraslajeja ja muita aggressiivisesti leviäviä lajeja ei tule käyttää.</t>
  </si>
  <si>
    <t>Hulevesien hallinnan kannalta erittäin merkittävä; soveltuu hyvin hulevesien määrän ja laadun hallintaan (10).</t>
  </si>
  <si>
    <t>Ei suoraa merkitystä monimuotoisuudelle ja hiilensidonnalle. Rakenteen kautta tontin maaperään imeytyvä sadevesi vähentää vesijohtovesikastelun tarvetta ja parantaa tontin kasvillisuuden hyvinvointia ja sitä kautta mm. hiilensidontaa.</t>
  </si>
  <si>
    <t>Luonnonmukainen kasvillisuus tärkeää monimuotoisuudelle, elinympäristöille ja ekologiselle verkostolle. Runsaan kasvillisuuden ansiosta myös merkitystä hiilensidonnalle. Huom. Vieraslajeja ja muita aggressiivisesti leviäviä ei tule käyttää.</t>
  </si>
  <si>
    <t>Samat toiminnot kuin viivytyspainanteella.  Huleveden jatko-ohjauksesta riippuen pienempi merkitys hulevesien laadullisessa hallinnassa.</t>
  </si>
  <si>
    <t>Ei merkitystä monimuotoisuudelle ja hiilensidonnalle. Toisaalta vapauttaa tilaa kasvillisuudelle tai muulle maankäytölle maan pinnalla. Sadeveden keräämisellä on kuitenkin suuri ekologinen arvo, koska se vähentää vesijohtoveden käyttöä erityisesti tilanteissa, missä siitä saattaa olla pulaa muutenkin (kuivuusjaksot). Merkitys monimuotoisuudelle ja hiilensidonnalle, kun istutukset pysyvät kuivinakin kausina elinvoimaisina ja hiilensidontakykyisinä.</t>
  </si>
  <si>
    <t>Kastelu mahdollistaa osallisuutta ja yhteisöllisyyttä pihan muihin toimintoihin, kuten puutarhanhoitoon yleisesti.</t>
  </si>
  <si>
    <t>Ei merkitystä maisemalle.</t>
  </si>
  <si>
    <t>Hoitotarve verrattavissa imeytyskaivantoon. Sis: esim. salaojajärjestelmän huuhtominen ja kiintoaineksen poisto imumenetelmällä (10).</t>
  </si>
  <si>
    <t>Samat toiminnot kuin viivytyspainanteella.</t>
  </si>
  <si>
    <t>Ekologisuutta lisää myös vesijohtoveden vähentäminen kastelussa ja kasvillisuuden hyvinvoinnin parantaminen.</t>
  </si>
  <si>
    <t>Merkitystä hulevesien hallinnalle, mutta riippuu paljon ohjaamisreitin toteuttamisesta ja kunnossapidosta.</t>
  </si>
  <si>
    <t>Mahdollisuus vesileikkeihin ja luonnosta oppimiseen. Toiminnallisuutta vähentävät turvallisuusnäkökohdat ja usein vesiaiheisiin liittyvät hyönteiset kuten hyttyset.</t>
  </si>
  <si>
    <t>Mahdollistaa miellyttävämmän oleskelun sisä- ja ulkotiloissa hellejaksoilla. Helposti ikkunoista näkyvä lehtipuiden ruska lisää viihtyisyyttä.</t>
  </si>
  <si>
    <t>Puilla on merkittävä arvo maisemassa.</t>
  </si>
  <si>
    <t xml:space="preserve">Vettä läpäisevä pinta mahdollistaa läpäisemätöntä pintaa paremmin mm. maaperäeliöstön hyvinvoinnin. Urheilukenttänurmella ja hiekka- tai sorapinnalle kehittyvällä pienimuotoisella kasvillisuudella on merkitystä monimuotoisuudelle ja hiilensidonnalle. </t>
  </si>
  <si>
    <t>Läpäisevä pinta on avuksi hulevesien hallinnassa.</t>
  </si>
  <si>
    <t>Viljelypalsta tai viljelylaatikko</t>
  </si>
  <si>
    <t>Isokokoisella istutettavalla puulla on samat hyödyt kuin vastaavalla säilytettävällä puulla, mutta hyödyt realisoituvat usein vasta vuosien päästä. Pitkäikäisten, puuvartisten kasvien merkitys hiilensidonnalle ja varastoinnille on erityisen suuri.</t>
  </si>
  <si>
    <t>Vertikaalisen pinta-alan lisääntyminen ei ole suoraan verrannollinen hulevesien hallinnasta saataviin hyötyihin, joten painotus on pienempi kuin isolla pensaalla.</t>
  </si>
  <si>
    <t>Merkitystä hulevesien hallinnalle, mutta riippuu paljon ohjaamisreitin ja liitetyn vesiaiheen toteuttamisesta ja kunnossapidosta.</t>
  </si>
  <si>
    <t xml:space="preserve">Ekologisuus vertailukelpoisempi kattopuutarhan kuin maksaruohokaton kanssa, sillä 10-29 cm paksuiselle viherkatolle voi istuttaa  jo hyvinkin monimuotoista kasvillisuutta. </t>
  </si>
  <si>
    <t>Maisema-arvo riippuu painanteen toteutustavasta. Tyypillisesti vertailukelpoinen viivytys- tai imeytyspainanteen kanssa.</t>
  </si>
  <si>
    <t>Rakenteen pohjan pinta-ala, m² (A1)</t>
  </si>
  <si>
    <t>Rakenteen ylimmän vesipinnan pinta-ala, m² (A2)</t>
  </si>
  <si>
    <t>Viivytyskerroksen maksimisyvyys, m (h)</t>
  </si>
  <si>
    <t>Keskisyvyys (h)</t>
  </si>
  <si>
    <r>
      <t xml:space="preserve">Täytä tähän lisätietoja bonuselementeistä </t>
    </r>
    <r>
      <rPr>
        <sz val="11"/>
        <rFont val="Arial"/>
        <family val="2"/>
      </rPr>
      <t>(mm. elementit, lukumäärä, laji, sijainti)</t>
    </r>
  </si>
  <si>
    <r>
      <t>m</t>
    </r>
    <r>
      <rPr>
        <vertAlign val="superscript"/>
        <sz val="12"/>
        <rFont val="Arial"/>
        <family val="2"/>
      </rPr>
      <t>3</t>
    </r>
  </si>
  <si>
    <r>
      <t>Hulevesi</t>
    </r>
    <r>
      <rPr>
        <sz val="11"/>
        <color theme="1"/>
        <rFont val="Arial"/>
        <family val="2"/>
      </rPr>
      <t xml:space="preserve"> (painotettu jälkikäteen)</t>
    </r>
  </si>
  <si>
    <r>
      <t>Sadepuutarha (ei pysyvää vesipintaa), jossa monipuolista ja kerroksellista kasvillisuutta,</t>
    </r>
    <r>
      <rPr>
        <b/>
        <sz val="10"/>
        <color theme="4" tint="-0.249977111117893"/>
        <rFont val="Arial"/>
        <family val="2"/>
      </rPr>
      <t xml:space="preserve"> biosuodatusrakenne (B), viivyttävä rakenne (V)</t>
    </r>
  </si>
  <si>
    <r>
      <t xml:space="preserve">Lampi, kosteikko tai tulvaniitty luonnonmukaisella kasvillisuudella (ainakin osan vuodesta pysyvä vesipinta; muun ajan maa pysyy kosteana); Katso: Hagelberg et al., 2009 (18), </t>
    </r>
    <r>
      <rPr>
        <b/>
        <sz val="10"/>
        <color theme="4" tint="-0.249977111117893"/>
        <rFont val="Arial"/>
        <family val="2"/>
      </rPr>
      <t>viivyttävä rakenne (V)</t>
    </r>
  </si>
  <si>
    <r>
      <t xml:space="preserve">Viivytyskaivanto tai -säiliö (maanalainen), </t>
    </r>
    <r>
      <rPr>
        <b/>
        <sz val="10"/>
        <color theme="4" tint="-0.249977111117893"/>
        <rFont val="Arial"/>
        <family val="2"/>
      </rPr>
      <t>viivyttävä rakenne (V)</t>
    </r>
  </si>
  <si>
    <r>
      <t xml:space="preserve">Biosuodatuspainanne tai -allas (esim. tienvarsipainanne), </t>
    </r>
    <r>
      <rPr>
        <b/>
        <sz val="10"/>
        <color theme="4" tint="-0.249977111117893"/>
        <rFont val="Arial"/>
        <family val="2"/>
      </rPr>
      <t>biosuodatusrakenne (B), viivyttävä rakenne (V)</t>
    </r>
  </si>
  <si>
    <r>
      <t>Tyrväinen, Liisa. "The amenity value of the urban forest: an application of the hedonic pricing method." </t>
    </r>
    <r>
      <rPr>
        <i/>
        <sz val="10"/>
        <color rgb="FF222222"/>
        <rFont val="Arial"/>
        <family val="2"/>
      </rPr>
      <t>Landscape and Urban planning</t>
    </r>
    <r>
      <rPr>
        <sz val="10"/>
        <color rgb="FF222222"/>
        <rFont val="Arial"/>
        <family val="2"/>
      </rPr>
      <t> 37.3 (1997): 211-222.</t>
    </r>
  </si>
  <si>
    <r>
      <t>Rosenvald, Raul, and Asko Lohmus. "For what, when, and where is green-tree retention better than clear-cutting? A review of the biodiversity aspects." </t>
    </r>
    <r>
      <rPr>
        <i/>
        <sz val="10"/>
        <color rgb="FF222222"/>
        <rFont val="Arial"/>
        <family val="2"/>
      </rPr>
      <t>Forest Ecology and Management</t>
    </r>
    <r>
      <rPr>
        <sz val="10"/>
        <color rgb="FF222222"/>
        <rFont val="Arial"/>
        <family val="2"/>
      </rPr>
      <t> 255.1 (2008): 1-15.</t>
    </r>
  </si>
  <si>
    <r>
      <t>Kremen, Claire, and Richard S. Ostfeld. "A call to ecologists: measuring, analyzing, and managing ecosystem services." </t>
    </r>
    <r>
      <rPr>
        <i/>
        <sz val="10"/>
        <color rgb="FF222222"/>
        <rFont val="Arial"/>
        <family val="2"/>
      </rPr>
      <t>Frontiers in Ecology and the Environment</t>
    </r>
    <r>
      <rPr>
        <sz val="10"/>
        <color rgb="FF222222"/>
        <rFont val="Arial"/>
        <family val="2"/>
      </rPr>
      <t> 3.10 (2005): 540-548.</t>
    </r>
  </si>
  <si>
    <t>Asteikko (Ekologisuus, toiminnallisuus, maisema-arvo - huom. bonuselementeillä maksimipistemäärä 1)</t>
  </si>
  <si>
    <t>Asteikko (Kunnossapito - huom. bonuselementeillä maksimipistemäärä 1)</t>
  </si>
  <si>
    <t>"TO HIDE" "pinnoitteet kaikki"</t>
  </si>
  <si>
    <t>"TO HIDE" "pinnoitteet veg covered"</t>
  </si>
  <si>
    <t>"TO HIDE" yläkerros</t>
  </si>
  <si>
    <t>"TO HIDE" alakerros</t>
  </si>
  <si>
    <t>Hyödynnettävää tai syötävää satoa tuottavat istutukset: hedelmäpuut (à 10 m²), marjapensaat (à 10 m²)</t>
  </si>
  <si>
    <t>Hulevesien kerääminen kattopinnoilta kasteluvedeksi tai ohjaaminen hallitusti maanvaraiselle kasvillisuudelle</t>
  </si>
  <si>
    <t>Hulevesien ohjaaminen läpäisemättömiltä pinnoilta rakennettuihin vesielementteihin, kuten lampiin ja puroihin, joissa vesi vaihtuu/kiertää/virtaa</t>
  </si>
  <si>
    <t>viivytysrakenteen syvyys puuttuu</t>
  </si>
  <si>
    <t>biosuodatusrakenteen syvyys puuttuu</t>
  </si>
  <si>
    <t>Pienempi merkitys pienilmaston tasaamisessa kuin sadepuutarhalla. Maastonmuotoilu, kivet ja kasvillisuus tarjoavat mahdollisuuksia leikkiin, liikkumiseen ja luonnon tarkkailuun.</t>
  </si>
  <si>
    <t>Viivytystilavuustarve</t>
  </si>
  <si>
    <t>Biosuodatusrakenteen paksuus keskisyvyys (m)</t>
  </si>
  <si>
    <t>Hiilensidonta ja -varastointi, lajien ja elinympäristöjen monimuotoisuus, ekologinen verkosto</t>
  </si>
  <si>
    <t>Pienilmaston tasaaminen ja puhdistus (viilentäminen, ilman epäpuhtauksien sidonta, melun ja tuulisuuden vähentäminen, näkösuoja), ruoantuotanto hyötyviljelyllä, oppiminen luonnosta, leikkiminen, turvallisuus</t>
  </si>
  <si>
    <t>Asteikko (ekologisuus, toiminnallisuus, maisema-arvo - huom. bonuselementeillä maksimipistemäärä 1)</t>
  </si>
  <si>
    <t>Asteikko (kunnossapito - huom. bonuselementeillä maksimipistemäärä 1)</t>
  </si>
  <si>
    <t>Määrä</t>
  </si>
  <si>
    <t>Viherseinä tai muu julkisivuun integroitu kasvillisuus</t>
  </si>
  <si>
    <t>Viherkatto: Kattopuutarha 30–100 cm</t>
  </si>
  <si>
    <t>Viherkatto: Niitty, keto tai heinä, kasvualustan paksuus 10–29 cm</t>
  </si>
  <si>
    <t>Viherkatto: Maksaruoho- tai sammalkatto, kasvualustan paksuus 4–9 cm</t>
  </si>
  <si>
    <r>
      <t xml:space="preserve">Viherkatto: Niitty, keto tai heinä, kasvualustan paksuus 10–29 cm </t>
    </r>
    <r>
      <rPr>
        <sz val="10"/>
        <rFont val="Arial"/>
        <family val="2"/>
      </rPr>
      <t xml:space="preserve">(paksuus toivotun lajiston mukaan: Esim. 10 cm mahdollistaa kuivan ketokaton; vähintään 15 cm vaaditaan rehevämmälle niittykatolle: </t>
    </r>
    <r>
      <rPr>
        <u/>
        <sz val="10"/>
        <rFont val="Arial"/>
        <family val="2"/>
      </rPr>
      <t>Katso: RT 85-11204</t>
    </r>
    <r>
      <rPr>
        <sz val="10"/>
        <rFont val="Arial"/>
        <family val="2"/>
      </rPr>
      <t xml:space="preserve">  Viherkatot ja katto- ja kansipuutarhat, kasvillisuus ja kasvualusta; Taulukko 14)</t>
    </r>
    <r>
      <rPr>
        <b/>
        <sz val="10"/>
        <rFont val="Arial"/>
        <family val="2"/>
      </rPr>
      <t>.</t>
    </r>
  </si>
  <si>
    <r>
      <t>Viherkatto: Kattopuutarha 30–100 cm</t>
    </r>
    <r>
      <rPr>
        <sz val="10"/>
        <rFont val="Arial"/>
        <family val="2"/>
      </rPr>
      <t xml:space="preserve"> (</t>
    </r>
    <r>
      <rPr>
        <i/>
        <sz val="10"/>
        <rFont val="Arial"/>
        <family val="2"/>
      </rPr>
      <t xml:space="preserve">paksuus toivotun lajiston mukaan: Esim. 30 cm mahdollistaa vain matalat pensaat; vähintään 60 cm vaaditaan suuremmille puuvartisille: </t>
    </r>
    <r>
      <rPr>
        <i/>
        <u/>
        <sz val="10"/>
        <rFont val="Arial"/>
        <family val="2"/>
      </rPr>
      <t>Katso: RT 85-11204</t>
    </r>
    <r>
      <rPr>
        <i/>
        <sz val="10"/>
        <rFont val="Arial"/>
        <family val="2"/>
      </rPr>
      <t xml:space="preserve"> Viherkatot ja katto- ja kansipuutarhat, kasvillisuus ja kasvualusta; Taulukko 14</t>
    </r>
    <r>
      <rPr>
        <sz val="10"/>
        <rFont val="Arial"/>
        <family val="2"/>
      </rPr>
      <t>)</t>
    </r>
  </si>
  <si>
    <t>Perennat, kasvualustan syvyys 0,4–0,6 m</t>
  </si>
  <si>
    <t>Niitty tai keto, kasvualustan syvyys 0,15–0,3 m</t>
  </si>
  <si>
    <t>Nurmikko, kasvualustan syvyys 0,15–0,2 m</t>
  </si>
  <si>
    <t>Versio</t>
  </si>
  <si>
    <t>Viherkertoimen laskennassa painotetut osa-alueet</t>
  </si>
  <si>
    <t>Hoidon vaativuus ja hoitokerrat</t>
  </si>
  <si>
    <t>Liittyminen ympäröivään kaupunkikuvaan,
vaikutus maisemaan</t>
  </si>
  <si>
    <t>LUONTOLASKURI</t>
  </si>
  <si>
    <t>Tontin säilyvän alkuperäisen maanpeitekasvillisuuden osuus tontin pinta-alasta</t>
  </si>
  <si>
    <t>Jäävät ja istutettavat lajit kasvavat täysikokoisina vähintään kolmessa eri kerroksessa</t>
  </si>
  <si>
    <t>Tontilla on vähintään yksi vähintään 10 m² kokoinen yhtenäinen istutusalue, jossa kasvillisuutta on vähintään kolmessa eri kerroksessa</t>
  </si>
  <si>
    <t>Kantojen jättäminen paikalleen tontille vähintään 0,5 m korkuisina</t>
  </si>
  <si>
    <t>Vähintään kolmen linnun- tai lepakonpöntön rakentaminen tontille</t>
  </si>
  <si>
    <t>Lehtikompostin rakentaminen tontille</t>
  </si>
  <si>
    <t>Istutuksissa käytettyjen mesikasvien kukinta kestää yhteensä vähintään 3 kk</t>
  </si>
  <si>
    <t>Istutuksissa käytetään aikaisin keväällä kukkivia mesikasveja</t>
  </si>
  <si>
    <t>Istutuksissa käytetään vähintään kolmea puu- tai pensaslajia, jotka tuottavat syötäviä marjoja, hedelmiä tai pähkinöitä</t>
  </si>
  <si>
    <t>Lajiston kotoperäisyys</t>
  </si>
  <si>
    <t>Istutettuja puu-, pensas- ja perennalajeja lkm kpl / 10 m²</t>
  </si>
  <si>
    <t>10–25 %</t>
  </si>
  <si>
    <t>yli 50 %</t>
  </si>
  <si>
    <t>Vähintään puolet säilyvistä ja istutettavista puista on kotimaisia luonnonvaraisia lajeja tai niistä jalostettuja lajikkeita (puiden lukumäärä)</t>
  </si>
  <si>
    <t>Vähintään puolet säilyvistä ja istutettavista pensaista on kotimaisia luonnonvaraisia lajeja tai niistä jalostettuja lajikkeita (pensaiden lukumäärä)</t>
  </si>
  <si>
    <t>Pisteet</t>
  </si>
  <si>
    <t>Pisteitä yhteensä</t>
  </si>
  <si>
    <t>Täydet pisteet</t>
  </si>
  <si>
    <t>Kukkivien ja satoa tuottavien lajien hyödyntäminen</t>
  </si>
  <si>
    <t>Tontin/korttelin säilyvän alkuperäisen maanpeitekasvillisuuden osuus tontin pinta-alasta</t>
  </si>
  <si>
    <t>Tontilla/korttelissa ei rakentamisen jälkeen ole yhtään lajia Vieraslaji.fi-listalta</t>
  </si>
  <si>
    <t>Tontilla/korttelissa on vähintään yksi vähintään 10 m² kokoinen yhtenäinen istutusalue, jossa kasvillisuutta on vähintään kolmessa eri kerroksessa</t>
  </si>
  <si>
    <t>Kuolleen puun säilyttäminen tontilla tai palauttaminen tontille/kortteliin rakentamisen jälkeen</t>
  </si>
  <si>
    <t>TULOS</t>
  </si>
  <si>
    <t>Saadut pisteet</t>
  </si>
  <si>
    <t>Tulosviestit</t>
  </si>
  <si>
    <t>Pisteidenlasku</t>
  </si>
  <si>
    <t>Tulostuvien huomautusten kaavat</t>
  </si>
  <si>
    <t>Tulosviestin kaavat</t>
  </si>
  <si>
    <t>Huomautukset</t>
  </si>
  <si>
    <t>Tontilla/korttelissa on pysyvä vesiaihe, josta eläimet pääsevät juomaan turvallisesti.</t>
  </si>
  <si>
    <t>1–9 %</t>
  </si>
  <si>
    <t>26–50 %</t>
  </si>
  <si>
    <t>Säilyvät ja istutettavat luonnonvaraiset lajit tai niistä jalostetut lajikkeet on valittu samasta luontotyypistä</t>
  </si>
  <si>
    <t>Luokka</t>
  </si>
  <si>
    <t>Kasvillisuuden monilajisuus ja monikerroksisuus</t>
  </si>
  <si>
    <t>Kysymys/väittämä</t>
  </si>
  <si>
    <t>Elementtejä täytetty</t>
  </si>
  <si>
    <t>Elementtien kokonaismäärä</t>
  </si>
  <si>
    <t>Viherkerroinlaskelma</t>
  </si>
  <si>
    <t>Hulevesilaskelma</t>
  </si>
  <si>
    <t>Luontolaskurin tulos</t>
  </si>
  <si>
    <t>Lisätiedot</t>
  </si>
  <si>
    <t xml:space="preserve">Kasvillisuus voi olla mitä tahansa luonnonvaraista (myös esimerkiksi kaupunkien muuntuneita luontotyyppejä), itsestään kehittynyttä tai vanhoja, alkuperäisiä istutuksia. Tämä kohta ohjaa suunnittelua säästämään olemassa olevan kasvualustan ja maaperän ja välttämään tarpeettomia massanvaihtoja. </t>
  </si>
  <si>
    <t xml:space="preserve">Luonnon monimuotoisuutta voidaan tukea luonnonvaraisten lajien käytön lisäksi myös sillä, että näistä kasvilajeista muodostuu jokin luontotyyppi tai sen kaltainen kasvistokokonaisuus. Eliöt ovat useimmiten sopeutuneet johonkin tiettyyn luontotyyppiin, joten niiden kannalta on hyödyllisempää tarjota kasviyhteisöjä yksittäisten kasvien sijaan. Näin mahdollistetaan luonnollisten eliöyhteisöjen muodostuminen ja luonnon monimuotoisuuden tukeminen entistä paremmin.
Luontotyyppejä on kuvattu kymmeniä, ja tarkimmin ne on kuvattu Luontotyyppien uhanalaisuus -julkaisussa (https://luontotyyppienuhanalaisuus.ymparisto.fi/lutu/#/). Näin tarkka luontotyyppivastaavuus ei ole tarpeen, mutta ei myöskään kiellettyä. 
Luontotyyppivastaavuuteen riittää luontotyyppien yläluokkien tarkkuus: 
- kuiva kangasmetsä (myös kuivahkot kankaat, karukkokankaat)
- tuore kangasmetsä (myös lehtomaiset kankaat)
- lehto (kosteat, tuoreet ja kuivat lehdot)
- räme (kaikki rämetyypit)
- korpi (kaikki korpityypit)
- rantaniitty
- haka (tai muu metsäinen perinnebiotooppi)
- niitty tai keto
Kuivien ja tuoreiden kangasmetsien ja lehtojen lajistoa esitellään esimerkiksi https://metsatyypit.luke.fi -sivulla, helpoiten lajistotietoa löytyy Kangasmetsätaulukko  ja Lehtotaulukko -alasivujen linkkejä seuraamalla.
Metsäisiä suoluontotyyppejä ja niiden lajistoa (rämeet ja korvet) esitellään täällä
https://luontotyyppienuhanalaisuus.ymparisto.fi/lutu/#/pääryhmät/Suot
(kohdassa ”Luontotyypin kuvaus ja arviointiperusteet”) 
Ylätasoisten luontotyyppien lajistoa esitellään myös Laji.fi -Pinkka -sivustolla:
https://pinkka.helsinki.fi/pinkat/#/pinkkas/54
Laji.fi -sivustolla jokaisen lajin kohdalla Biologia-välilehdellä on myös ensisijainen elinympäristö, esim. Mk-kangasmetsät. </t>
  </si>
  <si>
    <t>Kannot jätetään paikoilleen, niitä ei nosteta irti maasta eikä jyrsitä. Ne tulee jättää vähintään 0,5 m korkuisiksi.</t>
  </si>
  <si>
    <t>Kuolleet puut tulee säilyttää ensisijaisesti tontilla/korttelissa. Mikäli rakentamisen ajaksi niitä ei voida jättää paikoilleen, ne voidaan siirtää muualle ja palauttaa tontille/kortteliin rakentamisen jälkeen. Maassa makaava kuollut puu hyödyttää eri lajistoa kuin pystyssä oleva kuollut puu, joten molempien käyttö tontilla/korttelissa on suositeltavaa. Pystylahopuun vähimmäiskorkeus on 1,5 metriä, sitä matalammat lasketaan kannoiksi (ks. seuraava kohta).</t>
  </si>
  <si>
    <t xml:space="preserve">Mesikasveilla tarkoitetaan lajeja, jotka tuottavat mettä tai siitepölyä tai molempia. Mesi ja siitepöly ovat tärkeitä isolle osalle hyönteislajistostamme, siksi näiden lajien suosiminen istutuksissa tukee luonnon monimuotoisuutta. Mesikasvit ovat erityisen tärkeitä aikaisin keväällä (maalis-huhtikuussa), kun talvehtineet hyönteiset lähtevät liikkeelle. Luonnossa pajut, erityisesti raita (Salix caprea) ovat tärkeimpiä mesikasveja. Muita tärkeitä ovat leskenlehti ja vuokot, istutuslajeista krookukset ja muut sipulikasvit. Pölyttäjien kannalta hyvässä istutuksessa on jokin tai joitain mesikasveja kukassa koko ajan aikaisesta keväästä myöhäiseen syksyyn, vähintään elokuun loppuun asti.
Kasvien yksinkertaiset, jalostamattomat kukat muodostavat yleensä parhaiten mettä ja siitepölyä. Kerrotuiksi jalostetut lajikkeet usein ovat medettömiä ja siitepölyttömiä, koska lisäterälehdet ovat yleensä muodostuneet heteistä ja/tai emeistä. 	</t>
  </si>
  <si>
    <t>Istutuksissa käytetään aikaisin keväällä kukkivia mesikasveja / Istutuksissa käytettyjen mesikasvien kukinta kestää yhteensä vähintään 3 kk</t>
  </si>
  <si>
    <t>Vähintään puolet säilyvistä ja istutettavista puista/pensaista/perennoista on kotimaisia luonnonvaraisia lajeja tai niistä jalostettuja lajikkeita</t>
  </si>
  <si>
    <t>Lajimäärä yli 10 m² kokoisilla istutusalueilla keskimäärin</t>
  </si>
  <si>
    <t>Viherelementtien ratkaisut eivät tue luonnon monimuotoisuutta</t>
  </si>
  <si>
    <t>Viherelementtien ratkaisut tukevat luonnon monimuotoisuutta</t>
  </si>
  <si>
    <t>Viherelementtien ratkaisut tukevat luonnon monimuotoisuutta hyvin</t>
  </si>
  <si>
    <t>alle 5 kpl</t>
  </si>
  <si>
    <t>6–10 kpl</t>
  </si>
  <si>
    <t xml:space="preserve">11–15 kpl </t>
  </si>
  <si>
    <t>yli 15 kpl</t>
  </si>
  <si>
    <t>5) Luontolaskurin täyttäminen</t>
  </si>
  <si>
    <t>Kasvillisuuden monilajisuus ja kerroksellisuus</t>
  </si>
  <si>
    <t>6) Tulokset</t>
  </si>
  <si>
    <t>Tontilla/korttelissa olevaa vesielementtiä ympäröi vähintään 1,0 m leveä luonnontilaisen kaltaisena ylläpidettävä suojavyöhyke</t>
  </si>
  <si>
    <t>Suoja- ja pesäpaikkoja tarjoavan rakenteen tai rakennelman, kuten luonnonkivikasan tai kylmäkivimuurin rakentaminen tontille/kortteliin</t>
  </si>
  <si>
    <t>Viherelementtien ratkaisuista voi olla haittaa luonnon monimuotoisuudelle</t>
  </si>
  <si>
    <t>Luonnon monimuotoisuuden väheneminen eli luontokato on uhka ihmiskunnalle. Monimuotoisuuden väheneminen uhkaa suoraan ja välillisesti myös ihmisten terveyttä, ruuantuotantoa ja talouden toimintakykyä. 
Luontokadon suurimpia syitä on ihmisen aiheuttama elinympäristöjen muuttuminen ja tuhoutuminen. Luontolaskuri itsessään ei ole riittävä työkalu luontokadon torjumiseen. 
Sen avulla voidaan kuitenkin valita luonnon monimuotoisuuden kannalta parempia vaihtoehtoja suunnitelmiin, ja näin ehkäistä luontokadon pahenemista tai jopa hidastaa luontokatoa.</t>
  </si>
  <si>
    <t>Voit siirtyä välilehtien välillä näkymän alalaidassa olevien välilehtikuvakkeiden avulla ("Ohjeet", "Rajaukset", "Viherkerroin", "Luontolaskuri", "Tulokset" sekä lisätietovälilehdet "Viherkertoimen lisätiedot", "Hulevesiratkaisujen lisätiedot" ja "Luontolaskurin lisätiedot"). Näkymän alalaidassa on myös valintanappeja, jotka mahdollistavat siirtymät välilehtien välillä. Painamalla "Edellinen"-nappia pääset edelliselle välilehdelle, ja "Seuraava"-nappia seuraavalle välilehdelle. "Ohjeet"-valintanappia painamalla on mahdollista palata tälle välilehdelle tarvittaessa. Luettuasi ohjeen loppuun, paina "Aloita"-valintanappia.</t>
  </si>
  <si>
    <t>Sadeveden kerääminen ja varastoiminen kastelutarkoitukseen (à 10 m² kasteltava alue, huom. yksikkö on tilavuus!)</t>
  </si>
  <si>
    <t>kuva 1</t>
  </si>
  <si>
    <t>Luonnon monimuotoisuutta voidaan tukea myös suosimalla istutuksissa Suomen luonnon alkuperäisiä lajeja. Luonnossa esiintyvät lajit ovat saapuneet ja levinneet eri tavoin. Tämän kohdan tarkoitus on varmistaa, että istutuksista löytyisi myös luonnonvaraisia kasvilajeja, jotka ovat luonnonvaraisille eläimille elintärkeitä ravintokasveja ja elinympäristöjä.
Kasvilajien alkuperäisyyden voi pääsääntöisesti tarkistaa Laji.fi -sivustolta. Sivustolla jokaisen lajin kohdalla on ”esiintymisen tyyppi” -niminen kohta, jossa kuvataan alkuperäisyyttä. Täydellistä listaa hyväksytyistä tyypeistä ei ole mahdollista sisällyttää tähän, mutta ohessa (kuva 1)  on eriteltynä tärkeimmät esiintymätyypit. On huomattava, että useimmat koristekasvisuvut ja -lajit (erityisesti puuvartiset) ovat vierasperäisiä ja kotoisin alun perin Pohjois-Amerikasta tai Aasiasta, eikä näistä kaikista edes ole esiintymätyyppitietoa Laji.fi -sivustolla. Laji.fi -sivulla on kaikki Suomen luonnonvaraiset lajit, joten jos laji ei löydy listalta, se ei ole luonnonvarainen. Huomaa, että sivustolla on esitelty vain lajit, joten lajikenimiä ei tietokannasta löydy. Lajin tiedot tulee aina tarkistaa pelkällä lajinimellä.
Esimerkki: sinilaakakataja Juniperus horizontalis `Wiltonii` sinilaakakataja-nimeä ei löydy, mutta laji löytyy tieteellisellä nimellä Juniperus horizontalis ja suomenkielisellä nimellä laakakataja. Sille ei ole annettu lajistatusta, lajista on vain yksi havainto tietokannassa. Pikkupilarikataja, Juniperus communis `Arnold` löytyy Laji.fi -sivulta varsinaisen lajin kohdalta, Juniperus communis, kotikataja. Sen lajistatus on alkuperäinen, vanhaa perua, vakiintunut.</t>
  </si>
  <si>
    <r>
      <rPr>
        <b/>
        <sz val="10"/>
        <color theme="1"/>
        <rFont val="Arial"/>
        <family val="2"/>
      </rPr>
      <t>Rajaukset</t>
    </r>
    <r>
      <rPr>
        <sz val="10"/>
        <color theme="1"/>
        <rFont val="Arial"/>
        <family val="2"/>
      </rPr>
      <t xml:space="preserve">-välilehdellä määritellään viherkertoimen tavoitetasoon vaikuttavat korttelin tai tontin sekä ympäröivän alueen ominaispiirteet. Lomakkeen täyttäminen aloitetaan lisäämällä ylälaitaan päivämäärä sekä tunnistetiedot (kohteen ja täyttäjän nimet, korttelinumero sekä tonttinumero). Seuraavaksi määritellään lomakkeen oikeaan reunaan laskentaan tarvittavat tiedot: "Korttelin / tontin pinta-ala, m²", "Rakennusten peittopinta-ala, m²" ja "Kerrosala, k-m²". Syötettyjen tietojen perusteella päivittyvät kentät "Rakennusten peittämä ala suhteessa pinta-alaan" (rakennusten peittopinta-ala jaettuna tontin / korttelin pinta-alalla) ja "Kerrosalan suhde pinta-alaan (tehokkuusluku)" (rakennusten kerrosala jaettuna tontin / korttelin pinta-alalla). Kohteen tunnistetiedot tulostuvat automaattisesti Viherkerroin- ja Tulokset-välilehdille.
Kysymykset-kohdassa määritetään korttelin / tontin ja ympäröivän alueen ominaispiirteitä kuvaavat 5 rajausta valitsemalla sopivin Vastaus-kohdista. Valintojen perusteella muodostuvat tontin "Tavoitetaso" sekä "Laskennassa huomioitavat asiat". Huomioitavat asiat tuovat esiin kohteen ominaisuuksien perusteella tärkeitä suunnittelukysymyksiä sekä mahdollisesti vaadittavia elementtityyppejä (esim. hulevesirakenne, säilytettävä elementti). Nämä tiedot tulee huomioida viherkertoimen laskennassa ja tulosten arvioinnissa.
</t>
    </r>
    <r>
      <rPr>
        <b/>
        <sz val="10"/>
        <color theme="1"/>
        <rFont val="Arial"/>
        <family val="2"/>
      </rPr>
      <t>Hulevesien hallintaratkaisun keskisyvyyden laskenta</t>
    </r>
    <r>
      <rPr>
        <sz val="10"/>
        <color theme="1"/>
        <rFont val="Arial"/>
        <family val="2"/>
      </rPr>
      <t xml:space="preserve"> -laatikko tarjoaa apua kysymyksissä 4 ja 5 tarvittavan hulevesiratkaisujen viivytyskerroksen keskisyvyyden laskentaan. Kuvissa 1 ja 2 havainnollistetaan laskennassa tarvittavia tietoja. Kenttiin syötetään "Rakenteen pohjan pinta-ala, m² (A1)", "Rakenteen ylimmän vesipinnan pinta-ala, m² (A2)" sekä "Maksimisyvyys" (h). Näiden pohjalta muodostuu automaattisesti laskennallinen "</t>
    </r>
    <r>
      <rPr>
        <b/>
        <sz val="10"/>
        <color theme="1"/>
        <rFont val="Arial"/>
        <family val="2"/>
      </rPr>
      <t>Keskisyvyys</t>
    </r>
    <r>
      <rPr>
        <sz val="10"/>
        <color theme="1"/>
        <rFont val="Arial"/>
        <family val="2"/>
      </rPr>
      <t>". Rakenteen keskisyvyys on usein pienempi kuin maksimisyvyys rakenteen muodon vuoksi. Loivaluiskaisen rakenteen keskisyvyys on merkittävästi pienempi (0,3–0,5- kertainen) kuin maksimisyvyys. Jos pidätysrakenteessa on pysyvän vesipinnan (ylivuotoputken) yläpuolella viivytystilavuutta, voidaan viivytyskerrokselle laskea keskisyvyys. Myös imeytysrakenteelle voidaan laskea viivytystä, jos rakenne on suunniteltu siten, että vesi viipyy (lammikoituu) maakerrosten päällä ennen imeytymistä. Biosuodatusrakenteiden suositeltu viivytyskerroksen maksimisyvyys (h) on noin 0,3 m.</t>
    </r>
  </si>
  <si>
    <r>
      <rPr>
        <b/>
        <sz val="10"/>
        <color theme="1"/>
        <rFont val="Arial"/>
        <family val="2"/>
      </rPr>
      <t>Viherkerroin</t>
    </r>
    <r>
      <rPr>
        <sz val="10"/>
        <color theme="1"/>
        <rFont val="Arial"/>
        <family val="2"/>
      </rPr>
      <t>-välilehdellä täytetään tontille kaavaillut elementit: säilytettävä kasvillisuus ja maaperä, istutettava ja kylvettävä kasvillisuus, viherkatot ja julkisivukasvillisuus, pinnoitteet ja hulevesienhallintarakenteet sekä bonuselementit. 
"Elementin määritelmä" -sarake sisältää kuvauksen kustakin elementistä. Lisätietoa elementeistä (kasvualustan syvyys, painotuksen muodostuminen) saa painamalla "Lisätietoa"-valintanappia elementtityyppi-sarakkeessa, jolloin "Viherkertoimen lisätiedot"-välilehti aukeaa. Takaisin Viherkerroin-välilehdelle pääsee "Takaisin"-nappulaa painamalla.
"Määrä" -sarakkeeseen syötetään elementtejä koskevat määrätiedot "Yksikkö"-sarakkeen kertomassa muodossa (kpl, m², m3). Muut tiedot päivittyvät välilehdelle automaattisesti.
"Painotus"-sarakkeessa näkyy kullekin elementille määritetty painotus. "Painotettu pinta-ala, m²" -sarakkeeseen muodostuu syötetyn pinta-alan tai lukumäärän ja painotuksen tulo huomioiden esimerkiksi puille määritetyn keskimääräisen latvuspinta-alan, jonka saa esiin "Elementin määritelmä" -sarakkeen lisätietokommenteista.
Välilehden vasempaan yläkulmaan päivittyy automaattisesti yhteenlasketun painotetun pinta-alan ja tontin kokonaispinta-alan perusteella laskettu "</t>
    </r>
    <r>
      <rPr>
        <b/>
        <sz val="10"/>
        <color theme="1"/>
        <rFont val="Arial"/>
        <family val="2"/>
      </rPr>
      <t>Viherkerroin</t>
    </r>
    <r>
      <rPr>
        <sz val="10"/>
        <color theme="1"/>
        <rFont val="Arial"/>
        <family val="2"/>
      </rPr>
      <t>".</t>
    </r>
  </si>
  <si>
    <r>
      <rPr>
        <b/>
        <sz val="10"/>
        <color theme="1"/>
        <rFont val="Arial"/>
        <family val="2"/>
      </rPr>
      <t>Viherkerroin</t>
    </r>
    <r>
      <rPr>
        <sz val="10"/>
        <color theme="1"/>
        <rFont val="Arial"/>
        <family val="2"/>
      </rPr>
      <t>-välilehdellä on lisäksi arvioitu tontin kokonaisvalumakerroin ja sen perusteella viivytystilavuustarve tontilla. Kaikille elementtityypeille on arvioitu oma valumakerroin, sen pohjalla lasketaan automaattisesti tontin keskimääräinen "Valumakerroin C".
"Viivytystilavuustarve tontilla m</t>
    </r>
    <r>
      <rPr>
        <vertAlign val="superscript"/>
        <sz val="10"/>
        <color theme="1"/>
        <rFont val="Arial"/>
        <family val="2"/>
      </rPr>
      <t>3</t>
    </r>
    <r>
      <rPr>
        <sz val="10"/>
        <color theme="1"/>
        <rFont val="Arial"/>
        <family val="2"/>
      </rPr>
      <t xml:space="preserve">" perustuu Rajaukset-välilehdellä valittavaan kaavassa merkittyyn viivytystilavuustarpeeseen sekä sademäärään ("Sadanta"). Tavallinen tontin mitoitussade hulevesien viivyttämiseksi on 10 min kerran 5 vuodessa sadetapahtuma, sen sademäärä on noin 150 l/s*ha eli ~ 10 mm. Tilastollisten tutkimusten mukaan Suomessa noin 85–90 % sadetapahtumien sademäärästä on 10mm tai vähemmän. Hulevesimäärä on laskettu seuraavasti: Tontin pinta-ala * tontin keskimääräinen valumakerroin * sademäärä * kaavassa merkitty viivytystilavuustarve.
</t>
    </r>
    <r>
      <rPr>
        <b/>
        <sz val="10"/>
        <color theme="1"/>
        <rFont val="Arial"/>
        <family val="2"/>
      </rPr>
      <t>Hulevesiratkaisut</t>
    </r>
    <r>
      <rPr>
        <sz val="10"/>
        <color theme="1"/>
        <rFont val="Arial"/>
        <family val="2"/>
      </rPr>
      <t>-välilehdellä on lisätietoa rakenteiden ominaisuuksista (mm. viivytys ja biosuodatus).</t>
    </r>
  </si>
  <si>
    <r>
      <rPr>
        <b/>
        <sz val="10"/>
        <color theme="1"/>
        <rFont val="Arial"/>
        <family val="2"/>
      </rPr>
      <t>Tulokset</t>
    </r>
    <r>
      <rPr>
        <sz val="10"/>
        <color theme="1"/>
        <rFont val="Arial"/>
        <family val="2"/>
      </rPr>
      <t xml:space="preserve">-välilehdellä ovat viherkertoimen laskennasta ja luontolaskurin täyttämisestä saadut tulokset. Kuvaajat ja taulukot kertovat viherkertoimen muodostumiseen vaikuttavista tekijöistä ja erilaisten elementtien hyödyntämisasteesta. Kuvaaja "Osuus Viherkertoimen painotetusta kokonaispinta-alasta, %" kertoo, kuinka suurta osuutta kukin elementtikategoria vastaa lopullisesta Viherkerroin-luvusta. Kuvaaja "Laskennassa painottuneet tekijät, %" kertoo elementtien painotuksessa huomioitujen tekijöiden (ekologisuus, toiminnallisuus, maisema-arvo, kunnossapito, hulevesi) suhteellisen merkityksen viherkertoimessa. Kunkin elementin saamat painoarvot ovat tarkastettavissa Lisätietoa-välilehdellä (Viherkerroin-välilehden valintanapit).
Kohdassa "Täyttäjän kommentit" on mahdollista lisätä kommentteja laskennasta omaksi tiedoksi tai muiden tulosten tarkastelijoiden käyttöön. Kohtaan "Huomioitavat asiat" tulostuu automaattisesti laskennan tuloksia ja muita huomioitavia asioita.
</t>
    </r>
    <r>
      <rPr>
        <b/>
        <sz val="10"/>
        <color theme="1"/>
        <rFont val="Arial"/>
        <family val="2"/>
      </rPr>
      <t>Luettuasi ohjeen loppuun, paina "Aloita"-valintanappia tai siirry haluamallesi välilehdelle alalaidassa olevien välilehtikuvakkeiden avulla.</t>
    </r>
  </si>
  <si>
    <r>
      <rPr>
        <b/>
        <sz val="10"/>
        <color theme="1"/>
        <rFont val="Arial"/>
        <family val="2"/>
      </rPr>
      <t>Ekologisuus</t>
    </r>
    <r>
      <rPr>
        <sz val="10"/>
        <color theme="1"/>
        <rFont val="Arial"/>
        <family val="2"/>
      </rPr>
      <t xml:space="preserve">
Hiilensidonta ja -varastointi, lajien ja elinympäristöjen monimuotoisuus, ekologinen verkosto
</t>
    </r>
    <r>
      <rPr>
        <b/>
        <sz val="10"/>
        <color theme="1"/>
        <rFont val="Arial"/>
        <family val="2"/>
      </rPr>
      <t>painotus 1,59</t>
    </r>
  </si>
  <si>
    <r>
      <rPr>
        <b/>
        <sz val="10"/>
        <color theme="1"/>
        <rFont val="Arial"/>
        <family val="2"/>
      </rPr>
      <t>Toiminnallisuus</t>
    </r>
    <r>
      <rPr>
        <sz val="10"/>
        <color theme="1"/>
        <rFont val="Arial"/>
        <family val="2"/>
      </rPr>
      <t xml:space="preserve">
Pienilmaston tasaaminen ja puhdistus (viilentäminen, ilman epäpuhtauksien sidonta, melun ja tuulisuuden vähentäminen, näkösuoja), ruoantuotanto hyötyviljelyllä, oppiminen luonnosta, leikkiminen, turvallisuus
</t>
    </r>
    <r>
      <rPr>
        <b/>
        <sz val="10"/>
        <color theme="1"/>
        <rFont val="Arial"/>
        <family val="2"/>
      </rPr>
      <t>painotus 1,51</t>
    </r>
  </si>
  <si>
    <r>
      <rPr>
        <b/>
        <sz val="10"/>
        <color theme="1"/>
        <rFont val="Arial"/>
        <family val="2"/>
      </rPr>
      <t>Maisema-arvo</t>
    </r>
    <r>
      <rPr>
        <sz val="10"/>
        <color theme="1"/>
        <rFont val="Arial"/>
        <family val="2"/>
      </rPr>
      <t xml:space="preserve">
Liittyminen ympäröivään kaupunkikuvaan, vaikutus maisemaan
</t>
    </r>
    <r>
      <rPr>
        <b/>
        <sz val="10"/>
        <color theme="1"/>
        <rFont val="Arial"/>
        <family val="2"/>
      </rPr>
      <t>painotus 0,84</t>
    </r>
  </si>
  <si>
    <r>
      <rPr>
        <b/>
        <sz val="10"/>
        <color theme="1"/>
        <rFont val="Arial"/>
        <family val="2"/>
      </rPr>
      <t>Kunnossapito</t>
    </r>
    <r>
      <rPr>
        <sz val="10"/>
        <color theme="1"/>
        <rFont val="Arial"/>
        <family val="2"/>
      </rPr>
      <t xml:space="preserve">
Hoidon vaativuus ja hoitokerrat
</t>
    </r>
    <r>
      <rPr>
        <b/>
        <sz val="10"/>
        <color theme="1"/>
        <rFont val="Arial"/>
        <family val="2"/>
      </rPr>
      <t>painotus 0,70</t>
    </r>
  </si>
  <si>
    <r>
      <rPr>
        <b/>
        <sz val="10"/>
        <color theme="1"/>
        <rFont val="Arial"/>
        <family val="2"/>
      </rPr>
      <t>Hulevesi</t>
    </r>
    <r>
      <rPr>
        <sz val="10"/>
        <color theme="1"/>
        <rFont val="Arial"/>
        <family val="2"/>
      </rPr>
      <t xml:space="preserve">
Hulevesien määrällinen ja laadullinen hallinta
</t>
    </r>
    <r>
      <rPr>
        <b/>
        <sz val="10"/>
        <color theme="1"/>
        <rFont val="Arial"/>
        <family val="2"/>
      </rPr>
      <t>painotus 1,25</t>
    </r>
  </si>
  <si>
    <t>Tontilla/korttelissa olevaa vesielementtiä ympäröi vähintään 3,0 m leveä luonnontilaisen kaltaisena ylläpidettävä suojavyöhyke</t>
  </si>
  <si>
    <t>Vähintään yhden linnun- tai lepakonpöntön sijoittaminen tontille jokaista 1000 m² tontin/korttelin pinta-alaa kohti</t>
  </si>
  <si>
    <t xml:space="preserve">Pitkäikäisyyden ja suuren biomassan ansiosta erittäin suuri merkitys hiilensidonnalle ja -varastoinnille. Suuret puut tarjoavat enemmän elintilaa useammalle lajille kuin pienempi puu tai pensas. Erityisesti avointa maisemaa hallitsevat, suuret yksittäiset puut ja puuryhmät ovat tärkeä luontotyyppi (4,13). Ns. säästöpuiden jättäminen on metsätaloudessa havaittu merkittäväksi keinoksi säilyttää elinympäristöjä hakkuiden välillä (6-8), huomioiden kuitenkin, että vain osa lajeista kykenee hyödyntämään niitä. Huom. Syväjuuriset, metsässä kasvaneet puut (esim. mänty) sopeutuvat paremmin yksittäispuiksi kuin pintajuuriset puut (esim. kuusi), jotka usein ränsistyvät joutuessaan erilaisiin kasvuoloihin. </t>
  </si>
  <si>
    <r>
      <t>Vakiintuneella luonnontilaisella niityllä tai pohjakasvillisuudella on samat hyödyt kuin säilytettävillä puilla ja pensailla, mutta pienemmässä mittakaavassa. Pohjakasvillisuuden säilyttämisellä taataan maahan kertyneen hiilivaraston ja maaperäeliöstön säilyminen. Niityllä ja luonnontilaisella pohjakasvillisuudella on erityistä merkitystä ravinnonlähteenä, elinympäristönä ja suojapaikkana monille pieneläimille.</t>
    </r>
    <r>
      <rPr>
        <b/>
        <sz val="10"/>
        <rFont val="Arial"/>
        <family val="2"/>
      </rPr>
      <t xml:space="preserve"> </t>
    </r>
    <r>
      <rPr>
        <sz val="10"/>
        <rFont val="Arial"/>
        <family val="2"/>
      </rPr>
      <t>Pohjakasvillisuuden säilyttäminen on usein haastavaa, sillä kasvillisuus on tottunut tiettyihin kasvuolosuhteisiin (vrt. metsäkasvillisuus).</t>
    </r>
  </si>
  <si>
    <t>Kallio on erityisen tärkeä elinympäristö (4). Avokallioilla on oma eliölajistonsa, joten kallion säästäminen osana pihaa/viheraluetta lisää lajikirjoa/luonnon monimuotoisuutta luomalla mikrohabitaatteja. Ekologisuudesta saatavia pisteitä vähentää läpäisemättömän pinnan negatiivinen merkitys hulevesien hallinnalle sekä hiilensidonnalle ja -varastoinnille. Kalliokasvillisuus on lisäksi erittäin herkkää kulumiselle, mikä vähentää sen ekologista arvoa, ellei kalliolla kulkua rajoiteta.</t>
  </si>
  <si>
    <t xml:space="preserve">Niityt ja kedot (kuivat niityt) ovat luonnonmukaisempi (vähemmän hoitoa vaativa) ja monilajisempi vaihtoehto nurmikolle. Niityllä on erityistä merkitystä monimuotoisuudelle mm. pölyttäjiä houkuttelevien kukkivien kasvien ansiosta (13). Monivuotinen niittykasvilisuus muodostaa laajan juuriston joka rikastaa maaperän toimintaa ja eliöstöä sekä toimii hiilinieluna. </t>
  </si>
  <si>
    <t>Vakiintumisen (niitto muutaman kerran kesässä) jälkeen vaatii hoitoa 1-2 kertaa kesässä, kuivat kedot jopa harvemmin. Niityt ja kedot vaativat vähemmän hoitoa kuin esimerkiksi perennat tai nurmikko. Niitty ei tarvitse kastelua, lannoitusta tai torjunta-aineita.</t>
  </si>
  <si>
    <t>Kuntta on luonnonmukaisempi, monilajisempi ja vähemmän hoitoa vaativa vaihtoehto nurmikolle. Kuntan kasvit tarjoavat ravintoa, elinympäristöjä ja suojapaikkoja monille pieneläimille. Kuntan ekologisuutta vähentää sen keräyksen ja kuljetuksen hiilijalanjälki. Ekologisuuteen vaikuttaa kuntan alkuperä.</t>
  </si>
  <si>
    <r>
      <t>Viivytystilavuustarve tontilla m</t>
    </r>
    <r>
      <rPr>
        <b/>
        <vertAlign val="superscript"/>
        <sz val="10"/>
        <color theme="1"/>
        <rFont val="Arial"/>
        <family val="2"/>
      </rPr>
      <t>3</t>
    </r>
  </si>
  <si>
    <r>
      <t>Esitettyjen hulevesiratkaisujen viivytystilavuus m</t>
    </r>
    <r>
      <rPr>
        <b/>
        <vertAlign val="superscript"/>
        <sz val="10"/>
        <color theme="1"/>
        <rFont val="Arial"/>
        <family val="2"/>
      </rPr>
      <t>3</t>
    </r>
  </si>
  <si>
    <r>
      <t>Jää viivyttämättä m</t>
    </r>
    <r>
      <rPr>
        <b/>
        <vertAlign val="superscript"/>
        <sz val="10"/>
        <color theme="1"/>
        <rFont val="Arial"/>
        <family val="2"/>
      </rPr>
      <t>3</t>
    </r>
  </si>
  <si>
    <t>Asuinalueet -kerrostaloalueet (e= 0,4-1,2)</t>
  </si>
  <si>
    <t>Asuinalueet -tiivis keskusta (e= &gt;1,2)</t>
  </si>
  <si>
    <t>Istutettava puu</t>
  </si>
  <si>
    <t>Säilytettävä hyväkuntoinen puu</t>
  </si>
  <si>
    <t>Isokokoinen (täysikasvuisena &gt; 10 m) pitkäikäinen</t>
  </si>
  <si>
    <t>Isokokoinen (täysikasvuisena &gt; 10 m) lyhytikäinen</t>
  </si>
  <si>
    <t>Pienikokoinen (täysikasvuisena ≤ 10 m) pitkäikäinen</t>
  </si>
  <si>
    <t>Pienikokoinen (täysikasvuisena ≤ 10 m)  lyhytikäinen</t>
  </si>
  <si>
    <t>Pienikokoinen (täysikasvuisena ≤ 10 m) lyhytikäinen</t>
  </si>
  <si>
    <t>Asuinalueet -pientaloalueet ja väljät kerrostaloalueet (e ≤  0,4)</t>
  </si>
  <si>
    <t>Säilytettävä iso pensas (à 3m2)</t>
  </si>
  <si>
    <t>Puoliläpäisevät pinnoitteet (esim. nurmikivi, kivituhka, kalliomurske, terassi)</t>
  </si>
  <si>
    <t>Läpäisevät pinnoitteet (esim. sora-, sepeli- ja hiekkapinnat)</t>
  </si>
  <si>
    <t>Palveluiden ja toimistorakentamisen alueet</t>
  </si>
  <si>
    <t>Vähintään puolet säilyvistä, istutettavista tai kylvettävistä ruohovartisista lajeista tai varvuista on kotimaisia luonnonvaraisia lajeja tai niistä jalostettuja lajikkeita (istutusten pinta-ala)</t>
  </si>
  <si>
    <t>Lahopuun määrä lisäävät toimenpiteet</t>
  </si>
  <si>
    <t>Lajiston tukeminen pesäpaikkoja ja elinympäristöjä tarjoamalla</t>
  </si>
  <si>
    <t>Kasvualustoissa on käytetty biohiiltä vähintään 5 tilavuus-%</t>
  </si>
  <si>
    <t>Vähintään puolet perennaistutuksissa käytetyistä lajeista on kotimaisia perinnekasvilajeja tai niistä jalostettuja lajikkeita (istutusten pinta-ala)</t>
  </si>
  <si>
    <t>vähintään 2 m pitkä lahopuuaita tai vastaava pienen lahopuun säästörakenne</t>
  </si>
  <si>
    <t>vähintään 0,5 m korkea vähintään 0,5 m halkaisija kanto</t>
  </si>
  <si>
    <t>vähintään 1,5 m korkea kuollut pystyypuu (voi olla katkaistu latva pois)</t>
  </si>
  <si>
    <t>vähintään 1,5 m pitkä ja vähintään 0,3 m halkaisija maapuu (tuotu tai tontilla oleva/kaadettu puu)</t>
  </si>
  <si>
    <r>
      <t>m</t>
    </r>
    <r>
      <rPr>
        <vertAlign val="superscript"/>
        <sz val="12"/>
        <rFont val="Arial"/>
        <family val="2"/>
      </rPr>
      <t>2</t>
    </r>
  </si>
  <si>
    <t>Kasvillisuusalueet, joiden perustamisessa on hyödynnetty tontilta saatavia pintamaita</t>
  </si>
  <si>
    <t>Kasvualustat, joissa on käytetty biohiiltä vähintään 5 tilavuus-%</t>
  </si>
  <si>
    <t>Säilytettävä hyväkuntoinen puu, Pienikokoinen (täysikasvuisena ≤ 10 m)  lyhytikäinen (elävät alle 150 vuotta)</t>
  </si>
  <si>
    <t xml:space="preserve">Lyhytikäisellä suurella puulla on samat hyödyt kuin pitkäikäisellä suurella puulla, mutta lyhyempi elinikä vähentää pitkäaikaista merkitystä erityisesti hiilensidonnassa. Myös elinympäristömerkitys jää pienemmäksi. Huom. Syväjuuriset, metsässä kasvaneet puut (esim. mänty) sopeutuvat paremmin yksittäispuiksi kuin pintajuuriset puut (esim. kuusi), jotka usein ränsistyvät joutuessaan erilaisiin kasvuoloihin. </t>
  </si>
  <si>
    <t>Säilytettävä iso pensas, à 3 m², säilytettävä kasvualusta 3 m²</t>
  </si>
  <si>
    <t>Lyhytikäisellä suurella puulla on samat hyödyt kuin pitkäikäisellä suurella puulla, mutta lyhyempi elinikä vähentää pitkäaikaista merkitystä. Puulla voi olla merkitystä myös hyötyviljelyn kannalta, mikäli kyseessä on hedelmäpuu.  Hyväkuntoisen puun säilyttämisessä ei ole turvallisuusriskejä, mikäli puun juuriston ja rungon suojauksesta huolehditaan rakennusvaiheessa. Huom. Syväjuuriset, metsässä kasvaneet puut (esim. mänty) sopeutuvat paremmin yksittäispuiksi kuin pintajuuriset puut (esim. kuusi), jotka usein ränsistyvät joutuessaan erilaisiin kasvuoloihin.</t>
  </si>
  <si>
    <t>Vakiintuneella pienellä lyhytikäisellä puulla on samat hyödyt kuin suurella lyhytikäisellä puulla, mutta pienemmässä mittakaavassa. Huom. Syväjuuriset, metsässä kasvaneet puut (esim. mänty) sopeutuvat paremmin yksittäispuiksi kuin pintajuuriset puut (esim. kuusi), jotka usein ränsistyvät joutuessaan erilaisiin kasvuoloihin.</t>
  </si>
  <si>
    <t>Vakiintuneella pienellä pitkäikäisellä puulla on samat hyödyt kuin pitkäikäisellä suurella puulla, mutta pienemmässä mittakaavassa. Huom. Syväjuuriset, metsässä kasvaneet puut (esim. mänty) sopeutuvat paremmin yksittäispuiksi kuin pintajuuriset puut (esim. kuusi), jotka usein ränsistyvät joutuessaan erilaisiin kasvuoloihin.</t>
  </si>
  <si>
    <r>
      <t>Viivytystilavuustarve tontilla m</t>
    </r>
    <r>
      <rPr>
        <b/>
        <vertAlign val="superscript"/>
        <sz val="16"/>
        <color theme="1"/>
        <rFont val="Arial"/>
        <family val="2"/>
      </rPr>
      <t>3</t>
    </r>
  </si>
  <si>
    <t>Vakiintuneella, täysikasvuisena suuren koon saavuttavalla pitkäikäisellä puulla on erittäin suuri maisema-arvo, sillä se lieventää siirtymää rakentamattomasta maankäytöstä rakennettuun. Kaupunkimetsien on havaittu vaikuttavan positiivisesti tonttien hintoihin (3). Säilytettävä kasvillisuus on usein merkittävämpi maisemaelementti kuin istutettava kasvillisuus, jolla voi kestää useita vuosia vakiintua ja saavuttaa vastaava koko. Pitkäikäiset puut mahdollistavat ylisukupolvisen maisemakokemuksen ja -elementin. Maisema-arvoon vaikuttaa merkittävästi säilytettävän kasvillisuuden kunto. Syväjuuriset, metsässä kasvaneet puut (esim. mänty) sopeutuvat paremmin yksittäispuiksi kuin pintajuuriset puut (esim. kuusi), jotka usein ränsistyvät joutuessaan erilaisiin kasvuoloihin.</t>
  </si>
  <si>
    <t>Vakiintuneella, täysikasvuisena suuren koon saavuttavalla pitkäikäisellä puulla on erittäin suuri merkitys hulevesien hallinnalle juuriston sitoman veden ja latvuston varastoiman sadeveden (interseptiohaihdunnan) ansiosta (11).</t>
  </si>
  <si>
    <t>Vakiintuneella, täysikasvuisena suuren koon saavuttavalla lyhytikäisellä puulla on samat hyödyt maisema-arvon kannalta kuin pitkäikäisellä suurella puulla. Lyhytikäisiltä puilta jää puuttumaan ylisukupolvinen maisema-arvo. Maisema-arvoon vaikuttaa merkittävästi säilytettävän kasvillisuuden kunto sekä laji. Syväjuuriset, metsässä kasvaneet puut (esim. mänty) sopeutuvat paremmin yksittäispuiksi kuin pintajuuriset puut (esim. kuusi), jotka usein ränsistyvät joutuessaan erilaisiin kasvuoloihin.</t>
  </si>
  <si>
    <t>Sama hoitotarve kuin isolla pitkäikäisellä säilytettävällä puulla.</t>
  </si>
  <si>
    <t>Vakiintuneella täysikasvuisena suuren koon saavuttavalla lyhytikäisellä puulla on samat hyödyt kuin pitkäikäisellä suurella puulla.</t>
  </si>
  <si>
    <t>Vakiintuneella, täysikasvuisena pienellä  pitkäikäisellä puulla on samat hyödyt kuin pitkäikäisellä suurella puulla, mutta pienemmässä mittakaavassa.</t>
  </si>
  <si>
    <t>Vakiintuneella, täysikasvuisena pienellä lyhytikäisellä puulla on samat hyödyt kuin pitkäikäisellä pienellä puulla.</t>
  </si>
  <si>
    <t>Isokokoisella, pitkäikäisellä istutettavalla puulla on samat hyödyt kuin vastaavalla säilytettävällä puulla, mutta hyödyt realisoituvat usein vasta vuosien päästä. Pitkäikäisten, puuvartisten kasvien merkitys hiilensidonnalle ja varastoinnille on erityisen suuri.</t>
  </si>
  <si>
    <t>Isokokoisella pitkäikäisellä istutettavalla puulla on samat hyödyt kuin vastaavalla säilytettävällä puulla, mutta hyödyt realisoituvat usein vasta vuosien päästä. Istutettavan puun hyötyjä pienilmaston säätelyssä lisää kuitenkin mahdollisuus puulajin ja istutuspaikan määrittämiseen rakennukseen nähden, mikä ei ole mahdollista säilytettävällä kasvillisuudella.</t>
  </si>
  <si>
    <t>Isokokoisella pitkäikäisellä istutettavalla puulla on samat hyödyt kuin vastaavalla säilytettävällä puulla, mutta hyödyt realisoituvat usein vasta vuosien päästä. Istutettavan puun maisema-arvoa lisää kuitenkin mahdollisuus puulajin ja istutuspaikan määrittämiseen rakennukseen nähden, mikä ei ole mahdollista säilytettävällä kasvillisuudella. Pitkäikäiset puut ovat usein hidaskasvuisia, mutta maisemallinen arvo säilyy ylisukupolvisena.</t>
  </si>
  <si>
    <t>Isokokoisella pitkäikäisellä istutettavalla puulla on samat hyödyt kuin vastaavalla säilytettävällä puulla, mutta hyödyt realisoituvat usein vasta vuosien päästä.</t>
  </si>
  <si>
    <t xml:space="preserve">Isokokoisella lyhytikäisellä istutettavalla puulla on samat hyödyt kuin vastaavalla säilyvällä puulla, mutta hyödyt realisoituvat usein vasta vuosien päästä. Lyhytikäiset puut kasvavat usein nopeasti, ja osa hyödyistä saattaa realisoitua nopeammin kuin pitkäikäisillä puilla. Pitkäikäisyys kuitenkin tuo pidemmällä aikajänteellä enemmän kertautuvia hyötyjä. Puulla voi olla merkitystä myös hyötyviljelyn kannalta, mikäli kyseessä on hedelmäpuu.  </t>
  </si>
  <si>
    <t>Isokokoisella lyhytikäisellä istutettavalla puulla on samat hyödyt kuin vastaavalla säilyvällä puulla, mutta hyödyt realisoituvat usein vasta vuosien päästä. Lyhytikäiset puut kasvavat usein nopeasti, ja maisemallinen arvo saavutetaan nopeammin kuin pitkäikäisillä puilla. Pitkäikäiset puut säilyvät maisemassa kuitenkin selvästi pidempään.</t>
  </si>
  <si>
    <t>Sama hoitotarve kuin isoilla pitkäikäisillä puilla.</t>
  </si>
  <si>
    <t>Isokokoisella lyhytikäisellä istutettavalla puulla on samat hyödyt kuin istutettavalla pitkäikäisellä isolla puulla.</t>
  </si>
  <si>
    <t>Pienikokoisella pitkäikäisellä istutettavalla puulla on samat hyödyt kuin samanlaisella säilytettävällä  puulla, mutta hyödyt realisoituvat usein vasta vuosien päästä. Hyödyt toteutuvat pienemmässä mittakaavassa kuin suurikokoisella puulla (kasvin ja kasvualustan koko).</t>
  </si>
  <si>
    <t>Pienikokoisella pitkäikäisellä istutettavalla puulla on samat hyödyt kuin vastaavalla säilytettävällä puulla, mutta hyödyt realisoituvat usein vasta vuosien päästä. Istutettavan puun hyötyjä pienilmaston säätelyssä lisää kuitenkin mahdollisuus puulajin ja istutuspaikan määrittämiseen rakennukseen nähden, mikä ei ole mahdollista säilytettävällä kasvillisuudella.</t>
  </si>
  <si>
    <t>Pienikokoisella pitkäikäisellä istutettavalla puulla on samat hyödyt kuin vastaavalla säilytettävällä puulla, mutta hyödyt realisoituvat usein vasta vuosien päästä. Istutettavan puun maisema-arvoa lisää kuitenkin mahdollisuus puulajin ja istutuspaikan määrittämiseen rakennukseen nähden, mikä ei ole mahdollista säilytettävällä kasvillisuudella. Pitkäikäiset puut ovat usein hidaskasvuisia, mutta maisemallinen arvo säilyy ylisukupolvisena.</t>
  </si>
  <si>
    <t>Pienikokoisella pitkäikäisellä istutettavalla puulla on samankaltaiset hyödyt kuin istutettavalla pitkäikäisellä isolla puulla, mutta pienemmässä mittakaavassa (kasvin ja kasvualustan koko).</t>
  </si>
  <si>
    <t>Pienikokoisella lyhytikäisellä istutettavalla puulla on samat hyödyt kuin vastaavalla pitkäikäisellä puulla, mutta lyhytikäisyys pienentää merkitystä pitkäikäiseen verrattuna hyötyjen pitkäaikaisessa kertymisessä.</t>
  </si>
  <si>
    <t>Pienikokoisella lyhytikäisellä istutettavalla puulla on samat hyödyt kuin vastaavalla säilyvällä puulla, mutta hyödyt realisoituvat usein vasta vuosien päästä. Lyhytikäiset puut kasvavat usein nopeasti, ja maisemallinen arvo saavutetaan nopeammin kuin pitkäikäisillä puilla. Pitkäikäiset puut säilyvät maisemassa kuitenkin selvästi pidempään.</t>
  </si>
  <si>
    <t>Pienikokoisella lyhytikäisellä istutettavalla puulla on samankaltaiset hyödyt kuin istutettavalla lyhytikäisellä isolla puulla, mutta pienemmässä mittakaavassa (kasvin ja kasvualustan koko).</t>
  </si>
  <si>
    <t>Isokokoinen puu (täysikasvuisena &gt; 10 m) pitkäikäinen (elävät yli 150 v, esim. metsämänty,metsäkuusi, metsätammi, metsälehmus)</t>
  </si>
  <si>
    <t>Isokokoinen puu (täysikasvuisena &gt; 10 m) lyhytikäinen (elävät alle 150 vuotta, esim. hieskoivu, harmaaleppä, raita)</t>
  </si>
  <si>
    <t>Pienikokoisella istutettavalla puulla on samat hyödyt kuin istutettavalla isolla puulla, mutta pienemmässä mittakaavassa (kasvin ja kasvualustan koko). Lyhyt ikä vähentää merkitystä hiilen sidonnassa.</t>
  </si>
  <si>
    <t>Pienikokoisella istutettavalla puulla on samat hyödyt kuin istutettavalla isolla puulla, mutta pienemmässä mittakaavassa (kasvin ja kasvualustan koko).  Pitkäikäisten, puuvartisten kasvien merkitys hiilensidonnalle ja varastoinnille on erityisen suuri.</t>
  </si>
  <si>
    <t xml:space="preserve">Isokokoisella istutettavalla puulla on samat hyödyt kuin säilytettävällä isolla puulla. Puulla voi olla merkitystä myös hyötyviljelyn kannalta, mikäli kyseessä on hedelmäpuu.  Lyhyt ikävä vähentää toiminnallista arvoa. </t>
  </si>
  <si>
    <t>Pienikokoisella istutettavalla puulla on samat hyödyt kuin säilytettävällä pienellä puulla. Puulla voi olla merkitystä myös hyötyviljelyn kannalta, mikäli kyseessä on hedelmäpuu. Pitkä ikä lisää toiminnalista arvoa.</t>
  </si>
  <si>
    <t xml:space="preserve">Pienikoisella istutettavalla puulla on samat hyödyt kuin säilytettävällä pienellä puulla. Puulla voi olla merkitystä myös hyötyviljelyn kannalta, mikäli kyseessä on hedelmäpuu.  Lyhyt ikävä vähentää toiminnallista arvoa. </t>
  </si>
  <si>
    <t xml:space="preserve">Isokokoisella istutettavalla puulla on samat hyödyt kuin vastaavalla säilytettävällä isolla puulla. Lyhyt ikä vähentää maisemallista arvoa. </t>
  </si>
  <si>
    <t>Pienikokoisella istutettavalla puulla on samat hyödyt kuin vastaavalla säilytettävällä pienellä puulla. Pitkä ikä lisää maisemallista arvoa.</t>
  </si>
  <si>
    <t xml:space="preserve">Pienikokoisella istutettavalla puulla on samat hyödyt kuin vastaavalla säilytettävällä pienellä puulla. Lyhyt ikä vähentää maisemallista arvoa. </t>
  </si>
  <si>
    <t>Sama hoitotarve kuin pienillä puilla.</t>
  </si>
  <si>
    <t xml:space="preserve">Isokokoisella istutettavalla puulla on samat hyödyt kuin vastaavalla säilytettävällä puulla, mutta hyödyt realisoituvat usein vasta vuosien päästä istutuksesta. </t>
  </si>
  <si>
    <t>Isokokoisella istutettavalla puulla on samat hyödyt kuin säilytettävällä isolla puulla, mutta lyhyt ikä vähentää puun vaikutusta hulevesien hallinnassa. Hyödyt hulevesien hallinnassa realisoituvat usein vasta vuosien päästä istutuksesta.</t>
  </si>
  <si>
    <t xml:space="preserve">Pienikokoisella istutettavalla puulla on samat hyödyt kuin vastaavalla säilytettävällä puulla, mutta hyödyt realisoituvat usein vasta vuosien päästä. </t>
  </si>
  <si>
    <t>Pienikokoisella istutettavalla puulla on samat hyödyt kuin säilytettävällä pienellä puulla, mutta lyhyt ikä vähentää puun vaikutusta hulevesien hallinnassa. Hyödyt hulevesien hallinnassa realisoituvat usein vasta vuosien päästä istutuksesta.</t>
  </si>
  <si>
    <t>Vakiintuneella pienellä pitkäikäisellä puulla on samat hyödyt kuin suurella puulla, mutta pienemmässä mittakaavassa. Puulla voi olla merkitystä myös hyötyviljelyn kannalta, mikäli kyseessä on hedelmäpuu.  Hyväkuntoisen puun säilyttämisessä ei ole turvallisuusriskejä, mikäli puun juuriston ja rungon suojauksesta huolehditaan rakennusvaiheessa. Huom. Syväjuuriset, metsässä kasvaneet puut (esim. mänty) sopeutuvat paremmin yksittäispuiksi kuin pintajuuriset puut (esim. kuusi), jotka usein ränsistyvät joutuessaan erilaisiin kasvuoloihin.</t>
  </si>
  <si>
    <t>Vakiintuneella pienellä  puulla on samat hyödyt kuin suurella puulla, mutta pienemmässä mittakaavassa. Puulla voi olla merkitystä myös hyötyviljelyn kannalta, mikäli kyseessä on hedelmäpuu.  Hyväkuntoisen puun säilyttämisessä ei ole turvallisuusriskejä, mikäli puun juuriston ja rungon suojauksesta huolehditaan rakennusvaiheessa. Huom. Syväjuuriset, metsässä kasvaneet puut (esim. mänty) sopeutuvat paremmin yksittäispuiksi kuin pintajuuriset puut (esim. kuusi), jotka usein ränsistyvät joutuessaan erilaisiin kasvuoloihin.</t>
  </si>
  <si>
    <t>Samat hyödyt kuin säilytettävillä yli 3-metrisillä puilla, mutta pienemmässä mittakaavassa.</t>
  </si>
  <si>
    <t>Pitkäikäisyyden ja suuren biomassan ansiosta erittäin suuri merkitys hiilensidonnalle ja -varastoinnille. Suuret puut tarjoavat enemmän elintilaa useammalle lajille kuin pienempi puu tai pensas. Erityisesti avointa maisemaa hallitsevat, suuret yksittäiset puut ja puuryhmät ovat tärkeä luontotyyppi (4,13). Ns. säästöpuiden jättäminen on metsätaloudessa havaittu merkittäväksi keinoksi säilyttää elinympäristöjä hakkuiden välillä (6-8), huomioiden kuitenkin, että vain osa lajeista kykenee hyödyntämään niitä. Huom. Syväjuuriset, metsässä kasvaneet puut (esim. mänty) sopeutuvat paremmin yksittäispuiksi kuin pintajuuriset puut (esim. kuusi), jotka usein ränsistyvät joutuessaan erilaisiin kasvuoloihin.</t>
  </si>
  <si>
    <t>Vakiintuneella pienellä pitkäikäisellä puulla on samat hyödyt kuin pitkäikäisellä suurella puulla, mutta pienemmässä mittakaavassa.</t>
  </si>
  <si>
    <t xml:space="preserve">Vakiintuneella pienellä lyhytikäisellä puulla on samat hyödyt kuin suurella lyhytikäisellä puulla, mutta pienemmässä mittakaavassa. </t>
  </si>
  <si>
    <t>Vakiintuneella pienellä pitkäikäisellä puulla on samat hyödyt kuin suurella pitkäikäisellä puulla, mutta pienemmässä mittakaavassa. Puulla voi olla merkitystä myös hyötyviljelyn kannalta, mikäli kyseessä on hedelmäpuu.  Hyväkuntoisen puun säilyttämisessä ei ole turvallisuusriskejä, mikäli puun juuriston ja rungon suojauksesta huolehditaan rakennusvaiheessa.</t>
  </si>
  <si>
    <t>Vakiintuneella pienellä lyhytikäisellä puulla on samat hyödyt kuin suurella lyhytikäisellä puulla, mutta pienemmässä mittakaavassa. Puulla voi olla merkitystä myös hyötyviljelyn kannalta, mikäli kyseessä on hedelmäpuu.  Hyväkuntoisen puun säilyttämisessä ei ole turvallisuusriskejä, mikäli puun juuriston ja rungon suojauksesta huolehditaan rakennusvaiheessa.</t>
  </si>
  <si>
    <t>Vakiintuneella, täysikasvuisena pienen koon saavuttavalla pitkäikäisellä puulla on samat hyödyt maisema-arvon kannalta kuin pitkäikäisellä suurella puulla. Koko arvioidaan maiseman kannalta toissijaiseksi, sillä puiden säilyttäminen on sinänsä on arvokasta. Maisema-arvoon vaikuttaa merkittävästi säilytettävän kasvillisuuden kunto sekä laji.</t>
  </si>
  <si>
    <t>Vakiintuneella, täysikasvuisena pienen koon saavuttavalla lyhytikäisellä puulla on samat hyödyt maisema-arvon kannalta kuin lyhytikäisellä suurella puulla. Koko arvioidaan maiseman kannalta toissijaiseksi, sillä puiden säilyttäminen on sinänsä on arvokasta. Maisema-arvoon vaikuttaa merkittävästi säilytettävän kasvillisuuden kunto sekä laji.</t>
  </si>
  <si>
    <t>Hoitotarve kerran vuodessa tai harvemmin rakennusvaiheen suojaamisen jälkeen. Lannoitus (n. kerran vuodessa) sekä puun kunnon tarkkailu ja  vaarallisten oksien poisto  tarpeen alueilla, jossa puu voi kaatussaan aiheuttaa turvallisuusriskin. Terveydentilan heikentymisestä kertovat usein latvuston kellastuminen ja harventuminen sekä pienentyneet lehdet. Jalopuut kestävät tyypillisesti hyvin lahovikoja toisin kuin esimerkiksi koivu</t>
  </si>
  <si>
    <t xml:space="preserve">Isokokoisella, pitkäikäisellä istutettavalla puulla on samat hyödyt kuin vastaavalla säilytettävällä puulla, mutta hyödyt realisoituvat usein vasta vuosien päästä. Lyhytikäisyys pienentää merkitystä pitkäikäiseen verrattuna hyötyjen pitkäaikaisessa kertymisessä. </t>
  </si>
  <si>
    <t>Pienikokoisella lyhytikäisellä istutettavalla puulla on samat hyödyt kuin vastaavalla säilyvällä puulla, mutta hyödyt realisoituvat usein vasta vuosien päästä. Lyhytikäiset puut kasvavat usein nopeasti, ja osa hyödyistä saattaa realisoitua nopeammin kuin pitkäikäisillä puilla. Pitkäikäisyys kuitenkin tuo pidemmällä aikajänteellä enemmän kertautuvia hyötyjä. Puulla voi olla merkitystä myös hyötyviljelyn kannalta, mikäli kyseessä on hedelmäpuu.</t>
  </si>
  <si>
    <t>Samat hoitotoimenpiteet kuin isoilla pitkäikäisillä puilla. Lyhytikäinen puu joudutaan uusimaan nopeammin. Toisaalta vanhat puut voivat vaatia enemmän hoitoa.</t>
  </si>
  <si>
    <t xml:space="preserve">Samat hoitotoimenpiteet kuin isoilla pitkäikäisillä puilla. Lyhytikäinen puu joudutaan uusimaan nopeammin. Toisaalta vanhat puut voivat vaatia enemmän hoitoa. </t>
  </si>
  <si>
    <t>Tontille perustettavien niittyjen ja muiden luonnonmukaisten kasvillisuusalueiden perustamisessa on hyödynnetty tontilta saatavia pintamaita/maa-aineksia</t>
  </si>
  <si>
    <t xml:space="preserve">Huokoisempi maa-aines ja biohiili itsessään mahdollistaa maaperäeliöstön hyvinvoinnin monin eri tavoin. Vähentää ravinteiden huuhtoutumista. Biohiili muodostaa maaperään pysyvän hiilivaraston. </t>
  </si>
  <si>
    <t xml:space="preserve">Tontilla kierrätettyjen materiaalien käyttö säilyttää maaperän hiilivaraston, vähentää päästöjä ja säilyttää alkuperäistä maaperän monimuotoisuutta. </t>
  </si>
  <si>
    <t xml:space="preserve">Ei merkitystä toiminnallisuuden kannalta. </t>
  </si>
  <si>
    <t>Biohiili maaperässä voi vähentää jonkin verran lannoitus- ja kastelutarvetta.</t>
  </si>
  <si>
    <t xml:space="preserve">Hoitotarve riippuu toteutettavasta kasvillisuustyypistä. </t>
  </si>
  <si>
    <t xml:space="preserve">Biohiili pidättää kosteutta ja hulevesien mukana huuhtoutuvia ravinteita kasvualustassa. Biohiili lisää maaperän huokoisuutta ja vedenläpäisevyyttä. Merkitys riippuu kasvualustan paksuudesta. </t>
  </si>
  <si>
    <t>Merkitys riippuu kasvualustan paksuudesta ja alkuperäisen maa-aineksen raekoosta. Niukkaravinteisista kierrätyskasvualustoista syntyy vähemmän ravinnevalumia.</t>
  </si>
  <si>
    <t>Huokoisempi maa-aines ja biohiili itsessään mahdollistaa maaperäeliöstön hyvinvoinnin monin eri tavoin. Vähentää ravinteiden huuhtoutumista. Biohiili muodostaa maaperään pysyvän hiilivaraston.</t>
  </si>
  <si>
    <t>Hoitotarve riippuu toteutettavasta kasvillisuustyypistä.</t>
  </si>
  <si>
    <t>Biohiili pidättää kosteutta ja hulevesien mukana huuhtoutuvia ravinteita kasvualustassa. Biohiili lisää maaperän huokoisuutta ja vedenläpäisevyyttä. Merkitys riippuu kasvualustan paksuudesta.</t>
  </si>
  <si>
    <t>Sadepuutarha tai vastaava imeytys- tai suodatuspainanne jossa monipuolista kerroksellista kasvillisuutta</t>
  </si>
  <si>
    <t>Imeytys- tai viivytyspainanne tai kaivanto kiviainespinnalla</t>
  </si>
  <si>
    <t>esim. kotipihlaja, tuurenpihlaja, koristekirsikat, tuohituomi</t>
  </si>
  <si>
    <t>Pienikokoinen puu (täysikasvuisena ≤ 10 m) lyhytikäinen (elävät alle 150 vuotta, esim. kotipihalaja, tuurenpihlaja, koristekirsikat, tuohituomi)</t>
  </si>
  <si>
    <t>Pienikokoinen puu (täysikasvuisena ≤ 10 m) pitkäikäinen (elävät yli 150 vuotta, esim. kotikataja, omenapuu, suurirunkoinen pähkinäpensas )</t>
  </si>
  <si>
    <t>esim. kotikataja, omenapuu, suurirunkoinen pähkinäpensas</t>
  </si>
  <si>
    <t>Imeytys- tai viivytyspainanne jossa matalaa kasvillisuutta (esim. nurmikko tai niitty)</t>
  </si>
  <si>
    <t>Isokokoinen (täysikasvuisena &gt; 10 m) pitkäikäinen (elävät yli 100 vuotta)</t>
  </si>
  <si>
    <t>Isokokoinen (täysikasvuisena &gt; 10 m) lyhytikäinen (elävät alle 100 vuotta)</t>
  </si>
  <si>
    <t>Pienikokoinen (täysikasvuisena ≤ 10 m) pitkäikäinen (elävät yli 100 vuotta)</t>
  </si>
  <si>
    <t>Pienikokoinen (täysikasvuisena ≤ 10 m)  lyhytikäinen (elävät alle 100 vuotta)</t>
  </si>
  <si>
    <t>Säilytettävä hyväkuntoinen puu, Isokokoinen (täysikasvuisena &gt; 10 m) pitkäikäinen (elävät yli 100 vuotta)</t>
  </si>
  <si>
    <t>Säilytettävä hyväkuntoinen puu, Isokokoinen (täysikasvuisena &gt; 10 m) lyhytikäinen (elävät alle 100 vuotta)</t>
  </si>
  <si>
    <t>Säilytettävä hyväkuntoinen puu, Pienikokoinen (täysikasvuisena ≤ 10 m) pitkäikäinen (elävät yli 100 vuotta)</t>
  </si>
  <si>
    <t>Säilytettävä hyväkuntoinen puu, Pienikokoinen (täysikasvuisena ≤ 10 m)  lyhytikäinen (elävät alle 100 vuotta)</t>
  </si>
  <si>
    <r>
      <t>Mikä on kaavaan merkitty viivytystilavuustarve (m</t>
    </r>
    <r>
      <rPr>
        <vertAlign val="superscript"/>
        <sz val="12"/>
        <rFont val="Arial"/>
        <family val="2"/>
      </rPr>
      <t>3</t>
    </r>
    <r>
      <rPr>
        <sz val="12"/>
        <rFont val="Arial"/>
        <family val="2"/>
      </rPr>
      <t>/100 m</t>
    </r>
    <r>
      <rPr>
        <vertAlign val="superscript"/>
        <sz val="12"/>
        <rFont val="Arial"/>
        <family val="2"/>
      </rPr>
      <t>2</t>
    </r>
    <r>
      <rPr>
        <sz val="12"/>
        <rFont val="Arial"/>
        <family val="2"/>
      </rPr>
      <t>)?</t>
    </r>
  </si>
  <si>
    <r>
      <t>Mikä on arvioitu viivytysalueen (</t>
    </r>
    <r>
      <rPr>
        <b/>
        <sz val="12"/>
        <rFont val="Arial"/>
        <family val="2"/>
      </rPr>
      <t>Kuva 1</t>
    </r>
    <r>
      <rPr>
        <sz val="12"/>
        <rFont val="Arial"/>
        <family val="2"/>
      </rPr>
      <t xml:space="preserve">) toteutuskelpoisen viivytystilan keskisyvyys (m)? </t>
    </r>
    <r>
      <rPr>
        <vertAlign val="superscript"/>
        <sz val="12"/>
        <rFont val="Arial"/>
        <family val="2"/>
      </rPr>
      <t>1)</t>
    </r>
    <r>
      <rPr>
        <sz val="12"/>
        <rFont val="Arial"/>
        <family val="2"/>
      </rPr>
      <t xml:space="preserve"> </t>
    </r>
  </si>
  <si>
    <r>
      <t>Mikä on arvioitu biosuodatusrakenteen (</t>
    </r>
    <r>
      <rPr>
        <b/>
        <sz val="12"/>
        <rFont val="Arial"/>
        <family val="2"/>
      </rPr>
      <t>Kuva 2</t>
    </r>
    <r>
      <rPr>
        <sz val="12"/>
        <rFont val="Arial"/>
        <family val="2"/>
      </rPr>
      <t xml:space="preserve">) päällä olevan viivytystilan keskisyvyys (m)? </t>
    </r>
    <r>
      <rPr>
        <vertAlign val="superscript"/>
        <sz val="12"/>
        <rFont val="Arial"/>
        <family val="2"/>
      </rPr>
      <t>1)</t>
    </r>
    <r>
      <rPr>
        <sz val="12"/>
        <rFont val="Arial"/>
        <family val="2"/>
      </rPr>
      <t xml:space="preserve"> </t>
    </r>
  </si>
  <si>
    <r>
      <rPr>
        <b/>
        <sz val="12"/>
        <rFont val="Arial"/>
        <family val="2"/>
      </rPr>
      <t>Kuva 1.</t>
    </r>
    <r>
      <rPr>
        <sz val="12"/>
        <rFont val="Arial"/>
        <family val="2"/>
      </rPr>
      <t xml:space="preserve"> Viivytysalue</t>
    </r>
  </si>
  <si>
    <r>
      <rPr>
        <b/>
        <sz val="12"/>
        <rFont val="Arial"/>
        <family val="2"/>
      </rPr>
      <t xml:space="preserve">Kuva 2. </t>
    </r>
    <r>
      <rPr>
        <sz val="12"/>
        <rFont val="Arial"/>
        <family val="2"/>
      </rPr>
      <t>Biosuodatusrakenne</t>
    </r>
  </si>
  <si>
    <r>
      <t xml:space="preserve">1) </t>
    </r>
    <r>
      <rPr>
        <b/>
        <i/>
        <sz val="12"/>
        <rFont val="Arial"/>
        <family val="2"/>
      </rPr>
      <t xml:space="preserve">Viivytyskerros </t>
    </r>
    <r>
      <rPr>
        <i/>
        <sz val="12"/>
        <rFont val="Arial"/>
        <family val="2"/>
      </rPr>
      <t>= hulevesien hallintaratkaisun (biosuodatus, imeytys, pidätys, viivytys) tila, jossa vesi viipyy / lammikoituu, mutta ei muodosta pysyvää vesipintaa:</t>
    </r>
  </si>
  <si>
    <r>
      <rPr>
        <b/>
        <sz val="11"/>
        <rFont val="Arial"/>
        <family val="2"/>
      </rPr>
      <t xml:space="preserve">Viherkatto
</t>
    </r>
    <r>
      <rPr>
        <sz val="11"/>
        <rFont val="Arial"/>
        <family val="2"/>
      </rPr>
      <t>Viherkatolla tarkoitetaan yleisesti kasvillisuudella peitettyä katto- tai kansipintaa. Kasvillisuus viivyttää ja pidättää vettä ja vähentää näin syntyvien hulevesien määrää tasaten samalla virtaamapiikkejä. Viherkatot soveltuvat hyvin tiheästi rakennetuille alueille, joilla on niukasti tilaa maahan sijoitettaville käsittelymenetelmille. Viherkatot tuottavat myös muita hyötyjä: ne vähentävät melua, parantavat pienilmastoa, monipuolistavat maisemaa sekä tarjoavat elinolosuhteita monille pieneläinlajeille. Kasvillisuus voi myös pidentää katon elinikää suojaamalla sitä mm. UV-säteilyltä sekä lämpötilan vaihteluilta. 
Edellytyksenä viherkaton perustamiselle on katto- tai kansirakenteiden riittävä kantavuus ja vedeneristys. Viherkatto voidaan toteuttaa hyvin eri paksuisina - aina ohuesta maksaruohokatosta yli metrin paksuisen rakennekerroksen vaativaan kattopuutarhaan. Sopivimman kattokasvillisuustyypin valintaan vaikuttavat muun muassa katon kaltevuus ja kantavuus, paikan tuulisuus ja valoisuus, katon käyttötarkoitus sekä toivottava hoidon taso. Nyrkkisääntönä: vettä pidättyy viherkatolle sitä enemmän, mitä paksumpi ja loivempi se on.</t>
    </r>
  </si>
  <si>
    <r>
      <rPr>
        <b/>
        <sz val="11"/>
        <rFont val="Arial"/>
        <family val="2"/>
      </rPr>
      <t xml:space="preserve">Viherseinä
</t>
    </r>
    <r>
      <rPr>
        <sz val="11"/>
        <rFont val="Arial"/>
        <family val="2"/>
      </rPr>
      <t xml:space="preserve">Viherseinä on ratkaisu, jossa kasvillisuus on integroitu osaksi rakennuksen julkisivua. Ne soveltuvat kohteisiin, joihin ei voida perustaa maantasolta tilaa vieviä hulevesiratkaisuja. Viherseinän perustamiseen on monia erilaisia tapoja: kasvualusta voi olla seinästä erillinen rakenne tai kasvit voivat olla myös kiinteä osa seinää. Hulevesien hallinnan kannalta olennaista on pinta-ala, joka potentiaalisesti pidättää, imee ja haihduttaa vettä samaan tapaan kuin viherkatto. 
Viherseinät tarjoavat samantyyppisiä hyötyjä kuin viherkatot: ne mm. parantavat ilmanlaatua, säätelevät pienilmastoa ja paikallista äänimaisemaa, tarjoavat elinympäristöjä ja esteettisiä elämyksiä. Viherseinät ovat kuitenkin vaativia rakenteita, jotka edellyttävät säännöllistä ylläpitoa eli lannoitusta, kastelua, leikkausta ja paikkausta. Viherseinien talviaikaisen toimivuuden takaaminen on Suomen olosuhteissa haastavaa ja kokemuksia on vähän. </t>
    </r>
  </si>
  <si>
    <r>
      <rPr>
        <b/>
        <sz val="11"/>
        <rFont val="Arial"/>
        <family val="2"/>
      </rPr>
      <t xml:space="preserve">Läpäisevä ja puoliläpäisevä pinnoite </t>
    </r>
    <r>
      <rPr>
        <sz val="11"/>
        <rFont val="Arial"/>
        <family val="2"/>
      </rPr>
      <t xml:space="preserve">
Pinnoitteet voivat olla läpäiseviä (esim. sora ja hiekka), puoliläpäiseviä (esim. kivituhka, nurmikivi, terassi) tai läpäisemättömiä (tai heikosti läpäiseviä, esim. asfaltti, betoni). Huom. Terassirakenteet lasketaan puoliläpäiseviin pinnoitteisiin ainoastaan siinä tapauksessa, että niiden alusta on läpäisevä. Läpäisevät ja puoliläpäisevät pinnoitteet muodostuvat vettä läpäisevästä pintakerroksesta ja sen alapuolisista, karkeasta kiviaineksesta muodostuvista rakennekerroksista. Pintakerroksen läpäissyt hulevesi varastoituu hetkellisesti karkean kiviaineksen huokostilaan, mistä se imeytyy syvemmälle maaperään tai johdetaan eteenpäin salaojilla. Kansirakenteilla on myös mahdollista viivyttää jonkin verran hulevettä läpäisevien pinnoitteiden ja vettä varastoivien rakennekerrosten avulla. Rakenteiden kantavuudesta ja vedenpitävyydestä sekä ylivuodosta hulevesiviemäriin on tällöin huolehdittava.
Läpäisevillä pinnoitteilla vähennetään huleveden määrää, sillä ne mahdollistavat huleveden osittaisen imeytymisen maaperään. Ne eivät kuitenkaan sovellu ympäriltä kerätyn huleveden käsittelyyn. Läpäiseviä päällysteitä käytetään tyypillisesti tiiviisti rakennetuilla alueilla, joilla halutaan mahdollistaa sujuva liikkuminen. Ne soveltuvat kohteisiin, joiden liikennemäärät ovat pieniä, kuten pysäköintialueille, huolto- ja pelastusreiteille sekä kevyen liikenteen väylille. </t>
    </r>
  </si>
  <si>
    <r>
      <rPr>
        <b/>
        <sz val="11"/>
        <rFont val="Arial"/>
        <family val="2"/>
      </rPr>
      <t xml:space="preserve">Imeytyskaivanto (esim. kivipesä) </t>
    </r>
    <r>
      <rPr>
        <b/>
        <sz val="11"/>
        <color theme="4" tint="-0.249977111117893"/>
        <rFont val="Arial"/>
        <family val="2"/>
      </rPr>
      <t>(viivyttävä rakenne, V)</t>
    </r>
    <r>
      <rPr>
        <sz val="11"/>
        <rFont val="Arial"/>
        <family val="2"/>
      </rPr>
      <t xml:space="preserve">
Kivipesä sijaitsee pääosin maan alla. Se on tyypillisesti karkean soran, sepelin tai kivien avulla toteutettu pistemäinen rakenne, johon esimerkiksi rakennuksen katolta johdetut huleveden varastoituvat ennen imeytymistä maaperään tai johtamista eteenpäin salaojan tai putken avulla. Rakenne voi olla myös nauhamainen ja sisältää rakeisuudeltaan vaihtelevaa materiaalia. Tyypillisesti pinnalla olevat mukulakivet ovat kookkaita, jotta niiden pinta sulaa nopeasti keväällä eikä jäädy helposti vaikka lämpötilat vaihtelisivat nollan molemmin puolin. 
</t>
    </r>
  </si>
  <si>
    <r>
      <t xml:space="preserve">Biosuodatuspainanne tai -allas </t>
    </r>
    <r>
      <rPr>
        <b/>
        <sz val="11"/>
        <color theme="4" tint="-0.249977111117893"/>
        <rFont val="Arial"/>
        <family val="2"/>
      </rPr>
      <t>(biosuodatusrakenne, B; viivyttävä rakenne, V)</t>
    </r>
    <r>
      <rPr>
        <b/>
        <sz val="11"/>
        <rFont val="Arial"/>
        <family val="2"/>
      </rPr>
      <t xml:space="preserve">
</t>
    </r>
    <r>
      <rPr>
        <sz val="11"/>
        <rFont val="Arial"/>
        <family val="2"/>
      </rPr>
      <t xml:space="preserve">Biosuodatusaltaita ja -painanteita on tyypillisesti sovellettu alueila, joilta valuvat huevedet vaativat tehostetumpaa puhdistusta (esim. liikenneympäristöt). Biosuodatusaltaat ja -painanteet vastaavat kasvillisuuspeitteisten imeytysaltaiden- ja painanteiden toimintaa, mutta biosuodatusrakenteen puhdistustehoa lisää erityisen runsas kasvillisuus sekä suodattavat maaperäkerrokset. Hiekka-, sora- tai muiden puhdistavien maaperäkerrosten mikrobitoiminta tehostaa entisestään hulevesien puhdistumista. Biosuodatuksella voidaan näin ollen puhdistaa tehokkaammin esimerkiksi katualueiden hulevesiä. </t>
    </r>
  </si>
  <si>
    <r>
      <rPr>
        <b/>
        <sz val="11"/>
        <rFont val="Arial"/>
        <family val="2"/>
      </rPr>
      <t xml:space="preserve">Sadepuutarha </t>
    </r>
    <r>
      <rPr>
        <b/>
        <sz val="11"/>
        <color theme="4" tint="-0.249977111117893"/>
        <rFont val="Arial"/>
        <family val="2"/>
      </rPr>
      <t>(biosuodatusrakenne, B; viivyttävä rakenne, V)</t>
    </r>
    <r>
      <rPr>
        <sz val="11"/>
        <rFont val="Arial"/>
        <family val="2"/>
      </rPr>
      <t xml:space="preserve">
Piha-alueella olevaa viivytysallasta voidaan kutsua myös sadepuutarhaksi. Sinne johdetaan kattovedet ja mahdollisten kulku- ja pysäköintialueiden vedet. Vesi johdetaan rakenteeseen pintavaluntana ja siitä edelleen ylivuotorakenteen kautta imeytettäväksi toiseen rakenteeseen (tai sadevesiviemäriin), mikäli vettä ei pystytä imeyttämään. Sadepuutarhassa on tyypillisesti monimuotoinen kasvillisuus ja se voi muodostaa koko pihan näyttävän kiintopisteen. Ja kuten nimikin sen jo kertoo, kyse on puutarhamaisesta rakenteesta, joka vaatii kukoistaakseen hoitoa ja vaalimista. 
</t>
    </r>
  </si>
  <si>
    <r>
      <rPr>
        <b/>
        <sz val="11"/>
        <rFont val="Arial"/>
        <family val="2"/>
      </rPr>
      <t xml:space="preserve">Lampi </t>
    </r>
    <r>
      <rPr>
        <b/>
        <sz val="11"/>
        <color theme="4" tint="-0.249977111117893"/>
        <rFont val="Arial"/>
        <family val="2"/>
      </rPr>
      <t>(viivyttävä rakenne, V)</t>
    </r>
    <r>
      <rPr>
        <sz val="11"/>
        <rFont val="Arial"/>
        <family val="2"/>
      </rPr>
      <t xml:space="preserve">
Lammessa on pysyvä vesipinta ja se tasaa hulevesivirtaamaa. Myös veden laatu paranee, sillä hulevedessä olevat kiintoainekset laskeutuvat rakenteen pohjalle. Lampi mahdollistaa monimuotoisen kasvillisuuden käytön, koska lammesta ja sen reunoilta löytyy valikoima erilaisia kasvupaikkoja. Pysyvä vesipinta tarjoaa elinympäristöjä esimerkiksi sammakkoeläimille ja lammessa voi elää myös kaloja. Pysyvä vesipinta tarjoaa myös maisema- ja virkistysarvoja.
</t>
    </r>
  </si>
  <si>
    <r>
      <rPr>
        <b/>
        <sz val="11"/>
        <rFont val="Arial"/>
        <family val="2"/>
      </rPr>
      <t xml:space="preserve">Rakennettu kosteikko </t>
    </r>
    <r>
      <rPr>
        <b/>
        <sz val="11"/>
        <color theme="4" tint="-0.249977111117893"/>
        <rFont val="Arial"/>
        <family val="2"/>
      </rPr>
      <t>(viivyttävä rakenne, V)</t>
    </r>
    <r>
      <rPr>
        <b/>
        <sz val="11"/>
        <rFont val="Arial"/>
        <family val="2"/>
      </rPr>
      <t xml:space="preserve">
</t>
    </r>
    <r>
      <rPr>
        <sz val="11"/>
        <rFont val="Arial"/>
        <family val="2"/>
      </rPr>
      <t xml:space="preserve">Rakennettu kosteikko on laaja, runsaskasvuinen vesialue, jotta käytetään huleveden viivyttämiseen ja puhdistamiseen. Hulevesien hallintaan suunnitellut kosteikot ovat yleensä moniosaisia, koostuen laskeutusaltaasta ja pääaltaasta. Lisäksi kosteikossa voi olla erilaisia ohivirtauskanavia. Hyvin suunniteltu ja ylläpidetty kosteikko puhdistaa tehokkaasti hulevesissä olevaa kiintoaineista, metalleja, pienhiukkasia ja ravinteita. Kosteikon tulee kuitenkin olla asianmukaisesti mitoitettu suhteessa valuma-alueeseen, jotta se toimii oikein. Kosteikko vaatii useimmiten laajan tilavarauksen mahdollisine tulvaniittyineen, eikä ole sen takia tyypillinen rakenne katualueilla tai pihassa. Pihojen pienialaiset, kosteikkomaiset hulevesirakenteet ovat usein sadepuutarhoja. Rakennettu kosteikko sijoittuu tyypillisesti puistoon, jolloin se on myös aktiivisessa virkistyskäytössä ja tarjoaa elinympäristöjä monille lintu- ja hyönteislajeille. 
</t>
    </r>
  </si>
  <si>
    <r>
      <rPr>
        <b/>
        <sz val="11"/>
        <rFont val="Arial"/>
        <family val="2"/>
      </rPr>
      <t>Viivytyskaivanto tai -säiliö (maanalainen)</t>
    </r>
    <r>
      <rPr>
        <sz val="11"/>
        <rFont val="Arial"/>
        <family val="2"/>
      </rPr>
      <t xml:space="preserve">
Viivytyskaivannot ja -säiliöt ovat ratkaisu erittäin tiiviisti rakennettujen tai laajojen läpäisemättömien pintojen luonnehtimien alueiden maanalaiseen hulevesien viivytykseen. Niitä hyödynnetään esimerkiksi teollisuus- ja logistiikka-alueilla, joilla ei ole mahdollisuutta maanpinnalla tapahtuvaan hulevesien käsittelyyn ja joilla tulee voida liikennöidä raskailla ajoneuvoilla. Viivytys voidaan toteuttaa esimerkiksi muovikennostoilla (kaseteilla), säiliöillä t</t>
    </r>
    <r>
      <rPr>
        <sz val="11"/>
        <color theme="1"/>
        <rFont val="Arial"/>
        <family val="2"/>
      </rPr>
      <t xml:space="preserve">ai putkilla, </t>
    </r>
    <r>
      <rPr>
        <sz val="11"/>
        <rFont val="Arial"/>
        <family val="2"/>
      </rPr>
      <t xml:space="preserve">joiden mitoitus määräytyy alueen viivytystarpeen mukaan. Viivytyskaivannot ja -säiliöt edellyttävät muiden hulevesirakenteiden tapaan säännöllistä huoltoa.
</t>
    </r>
  </si>
  <si>
    <r>
      <rPr>
        <b/>
        <sz val="11"/>
        <rFont val="Arial"/>
        <family val="2"/>
      </rPr>
      <t xml:space="preserve">Sadevesisäiliö
</t>
    </r>
    <r>
      <rPr>
        <sz val="11"/>
        <rFont val="Arial"/>
        <family val="2"/>
      </rPr>
      <t xml:space="preserve">Sadevesisäiliö voi olla rakennukseen integroitu tai siitä erillinen säiliö, joka kerää tyypillisesti kattovesiä ja tasaa siten virtaamia. Vesi voidaan säiliöstä johtaa eteenpäin toiseen hulevesien hallintaratkaisuun ja siitä tarvittaessa ylivuotona hulevesiverkostoon tai hyödyntää muun muassa kastelu- tai pesuvetenä tontilla. Hulevesisäiliö voidaan myös sijoittaa maan alle esimerkiksi sadevesikaivona, josta vettä voidaan pumpata käsipumpulla pihan tarpeisiin.
</t>
    </r>
  </si>
  <si>
    <t>Tontilla/korttelissa ei rakentamisen jälkeen ole yhtään haitallista vieraslajia Vieraslaji.fi-listalta</t>
  </si>
  <si>
    <t>vähintään 0,5 m korkea ja vähintään 0,5 m halkaisijaltaan oleva kanto</t>
  </si>
  <si>
    <t>vähintään 1,5 m pitkä ja vähintään 0,3 m halkaisijaltaan oleva maapuu (tuotu tai tontilla oleva/kaadettu puu)</t>
  </si>
  <si>
    <r>
      <rPr>
        <b/>
        <sz val="11"/>
        <rFont val="Arial"/>
        <family val="2"/>
      </rPr>
      <t xml:space="preserve">Imeytys- tai viivytyspainanne, jossa matalaa kasvillisuutta </t>
    </r>
    <r>
      <rPr>
        <b/>
        <sz val="11"/>
        <color theme="4" tint="-0.249977111117893"/>
        <rFont val="Arial"/>
        <family val="2"/>
      </rPr>
      <t>(viivyttävä rakenne, V)</t>
    </r>
    <r>
      <rPr>
        <sz val="11"/>
        <rFont val="Arial"/>
        <family val="2"/>
      </rPr>
      <t xml:space="preserve">
Ympäröivää maastoa alempana oleva, kasvillisuuden peittämä viivyttävä tai pidättävä allas tai painanne viivyttää, pidättää, imeyttää ja haihduttaa hulevettä parantaen samalla sen laatua. Myös avo-ojat ja muut hulevesien johtamiseen tarkoitetut kasvipeitteiset alueet voidaan lukea tähän rakennetyyppiin. Viivytys tapahtuu rakenteen maakerroksissa ja/tai lisäksi rakenteen pinnalla tilapäisessä lammikoitumistilassa. Imeytys- ja viivytysrakenteissa ei ole pysyvää vesipintaa, vaan niiden tarkoitus on tasata hulevesivirtaamaa. Lammikoitumisen syvyyttä ja kestoa voidaan säädellä esimerkiksi rakenteeseen kytkettävällä purkuputkella tai patorakenteilla. Katualueella viivytysrakenne varustetaan tavallisesti myös ylivuotokaivolla. 
Katualueelle sijoitettu viivytysrakenne on tyypillisesti integroitu osaksi kevyen liikenteen väylää ja sen tarkoituksena on käsitellä koko katuympäristön hulevesiä. Rakennetta reunustavat esimerkiksi aukotetut reunakivet, joiden läpi tai ali vesi pääsee kulkemaan rakenteeseen. Suurella pihalla tai puistoalueella viivytysallas voi olla pinta-alaltaan huomattavasti laajempi. Pidätys- tai viivytysrakenne voi muodostaa keskeisen maisemaelementin sekä tarjota monenlaisia mahdollisuuksia leikkiin, virkistykseen ja monimuotoiseen kasvillisuuden käyttöön. Esimerkiksi suuret kivet voivat lisätä rakenteen käyttömahdollisuuksia ja maisema-arvoa vedettöminä aikoina.</t>
    </r>
  </si>
  <si>
    <t>esim. mänty, kuusi, rauduskoivu, haapa, tammi, vuorijalava, kynäjalava, metsälehmus, lehtosaarni, vaahtera, tervaleppä</t>
  </si>
  <si>
    <t>esim. hieskoivu, harmaaleppä, raita, halava, pihlaja, tuomi</t>
  </si>
  <si>
    <t>Valittuna tulee olla yksi jokaisesta kategoriasta:
1. Pienet tai isot puut
2. Matalat tai korkeat pensaat
3. Varvut tai perennat
Maanpeiteperennat lasketaan matalimpaan luokkaan mukaan, samoin sammalet ja jäkälät ja hyvin kehittynyt, monilajinen niitty tai keto. Nurmikkoa ei lasketa tässä kerrokseksi.</t>
  </si>
  <si>
    <t>Vähintään puolet istutuksissa käytetyistä lajeista on kotimaisia perinnekasvilajeja tai niistä jalostettuja lajikkeita (istutusten pinta-ala)</t>
  </si>
  <si>
    <t xml:space="preserve">maatiainen.fi ja Porvoon rakennustapaohjeissa listaus kasveista s. 57-61 https://www.porvoo.fi/app/uploads/2021/09/AK-512_Vanhan_Porvoon_Rakennustapaohjeet.pdf, Ulla ja Pertti Salo: Pihan perinnekasvit, Minerva-kustannus 2007. Tämä koskee myös puita ja pensaita. </t>
  </si>
  <si>
    <t>Viherkerroinelementtien lisätietoja</t>
  </si>
  <si>
    <r>
      <rPr>
        <b/>
        <sz val="11"/>
        <rFont val="Arial"/>
        <family val="2"/>
      </rPr>
      <t>Säilytettävä kasvillisuus</t>
    </r>
    <r>
      <rPr>
        <sz val="11"/>
        <rFont val="Arial"/>
        <family val="2"/>
      </rPr>
      <t xml:space="preserve">
Hyväkuntoiset puut tontilla tulisi aina pyrkiä säilyttämään. Puiden kunto ja säilyttämisen edellytykset tulee arvioida tapauskohtaisesti. Syväjuuriset, metsässä kasvaneet puut (esim. mänty) sopeutuvat paremmin yksittäispuiksi kuin pintajuuriset puut (esim. kuusi), jotka usein ränsistyvät joutuessaan erilaisiin kasvuoloihin. Sekä puun juuristo että runko tulee suojata asianmukaisesti rakennusvaiheessa ja säilytettävien puiden kuntoa tulee seurata rakennustöiden päätyttyä. 
Suunnitelmassa säilytettäviksi osoitettavat puut ja niiden rakentamisen aikaiset suojausrakenteet tulee esittää selkeästi suunnitelmassa. Rakentamisen urakkaselotuksessa tulee esittää puiden suojausluokka ja ohjeet säilytettävien puiden suojaukseen VRT’17 mukaisesti. 
Säilytettävä puusto ja kasvillisuus tarvitsevat jatkossakin suunnilleen saman määrän vettä, ravinteita ja valoa, kuin ennen rakentamista. Piha- ja hulevesisuunnitelmissa on kiinnitettävä erityistä huomioita säilytettävän kasvillisuuden riittävään vedensaantiin. Kasvillisuuden hyvinvoinnista on huolehdittava rakennusaikana riittävällä kastelulla ja hoidolla. Puiden juuristoalueella tapahtuva kaivuutyö tulee suunnitella erikseen. </t>
    </r>
  </si>
  <si>
    <r>
      <rPr>
        <b/>
        <sz val="11"/>
        <rFont val="Arial"/>
        <family val="2"/>
      </rPr>
      <t>Puulajien ikä ja koko</t>
    </r>
    <r>
      <rPr>
        <sz val="11"/>
        <rFont val="Arial"/>
        <family val="2"/>
      </rPr>
      <t xml:space="preserve">
Puut sitovat ja varastoivat hiiltä tehokkaasti, suuret ja pitkäikäiset puut enemmän kuin pienet ja lyhytikäiset. Puut tarjoavat myös varjostusta ja näkösuojaa. 
Lyhytikäiset puut kasvavat yleensä nopeammin kuin pitkäikäiset puut, ja niillä saadaan pihaan nopeasti varjostusta ja kerroksellisuutta. Lyhytikäiset puut kuitenkin ränsistyvät ja kuolevat nopeammin, ja tämä kannattaa huomioida pihan suunnittelussa. Lyhyt- ja pitkäikäisten puiden ikärajaksi on tässä viherkertoimessa asetettu 100 vuotta. Hyvissä olosuhteissa osa tässä lyhytikäisiksi määritellyistä lajeista voi kuitenkin kasvaa myös yli 100-vuotiaiksi. Toisaalta huonoissa olosuhteissa pitkäikäinen puulaji voi jäädä lyhytikäiseksi. Kaupunkiolosuhteissa puut harvoin saavuttavat samaa maksimi-ikää kuin ne luonnonolosuhteissa saavuttaisivat. 
Säilytettävien ja istutettavien puiden koko on hyvä sopeuttaa pihan kokoon. Eri kokoisilla puilla saadaan pihaan myös kerroksellisuutta ja vaihtelevuutta. Pieni- ja suurikokoisten lajien raja-arvoksi on tässä viherkertoimessa asetettu 10 metrin korkeus puun ollessa täysikasvuinen. 
Pitkäikäisiä, isokokoisia puulajeja ovat mm. esim. mänty, kuusi, rauduskoivu, haapa, tammi, vuorijalava, kynäjalava, metsälehmus, lehtosaarni, vaahtera, tervaleppä. Pitkäikäisiä, pienikokoisia puulajeja ovat mm. esim. kotikataja, omenapuu, suurirunkoinen pähkinäpensas.
Lyhytikäisiä, isokokoisia puulajeja ovat mm. hieskoivu, harmaaleppä, raita, halava, pihlaja, tuomi. Lyhytikäisiä, pienikokoisia puulajeja ovat mm. esim. kotipihlaja, tuurenpihlaja, koristekirsikat, tuohituomi.</t>
    </r>
  </si>
  <si>
    <t>Lahopuun määrää lisäävät toimenpiteet</t>
  </si>
  <si>
    <t>vähintään 1,5 m korkea kuollut pystypuu (voi olla katkaistu latva pois)</t>
  </si>
  <si>
    <t>Porvoon viherkerrointyökalu pohjautuu Helsingin ja Espoon viherkerrointyökaluihin.</t>
  </si>
  <si>
    <r>
      <t xml:space="preserve">Imeytys- tai viivytyspainanne jossa matalaa kasvillisuutta (esim. nurmikko tai niitty), </t>
    </r>
    <r>
      <rPr>
        <b/>
        <sz val="10"/>
        <color theme="4" tint="-0.249977111117893"/>
        <rFont val="Arial"/>
        <family val="2"/>
      </rPr>
      <t>viivyttävä rakenne (V)</t>
    </r>
  </si>
  <si>
    <r>
      <t>Imeytys- tai viivytyspainanne tai kaivanto kiviainespinnalla,</t>
    </r>
    <r>
      <rPr>
        <b/>
        <sz val="10"/>
        <color theme="4" tint="-0.249977111117893"/>
        <rFont val="Arial"/>
        <family val="2"/>
      </rPr>
      <t xml:space="preserve"> viivyttävä rakenne (V)</t>
    </r>
  </si>
  <si>
    <t>Ei merkitystä pienilmaston tasaamiselle. Toiminnallisuutta lisää mahdollisuus muiden toimintojen sijoittamiseen painanteen/kaivannon päälle.</t>
  </si>
  <si>
    <t xml:space="preserve">Suuri merkitys hulevesien määrälliselle ja laadulliselle hallinnalle (10). </t>
  </si>
  <si>
    <t>Hulevesien hallinnan kannalta merkittävä; soveltuu hyvin hulevesien määrän ja laadun hallintaan (10).</t>
  </si>
  <si>
    <t xml:space="preserve">Tämä kohta koskee niitä Vieraslaji.fi-listan vieraslajeja, joita ei vielä ole listattu kansallisesti haitallisina vieraslajeina. Vieraslajit ovat yksi isoimmista alkuperäisen luonnon monimuotoisuutta uhkaavista tekijöistä. Jokainen listan laji voi olla tulevaisuudessa haitallinen vieraslaji ja niillä on jo nyt mahdollisia haittoja luonnon monimuotoisuudelle. Listaa päivitetään jatkuvasti tarpeen mukaan ja tiedon lisääntyessä, joten Vieraslaji.fi -sivustolta tulee varmistaa ajantasainen listaus vieraslajeista. Vieraslaji.fi sisältää kuvaukset kunkin lajin haitoista ja käytön rajoituksista ja tämän kohdan osalta harkitaan tapauskohtaisesti, onko vaatimuksen täyttäminen kohteessa mahdollista. Esimerkiksi puutarhahistoriallisesti arvokkailla alueilla jotkin vieraslajilistan lajeista voivat olla arvokas osa kulttuuriympäristöä. Säilytettävän kasvillisuuden osalta on harkittava tapauskohtaisesti, onko vieraslaji haitallinen kyseisessä kohteessa. Esimerkiksi suurten vieraslajilistalla listattujen puiden (esim. siperianpihta) poistaminen ei ole tarpeen. Lisäksi joidenkin lajien käyttöä tulee rajoittaa vain tietyillä alueilla Suomessa, esimerkiksi tarhaomenapuuta (Malus domestica) ainoastaan Ahvenanmaalla, jolloin sitä ei tarvitse laskea tässä kohdassa määritellyksi vieraslajiksi Porvoossa. Omenapuiden istuttaminen puutarhoihin on jopa suotavaa.  </t>
  </si>
  <si>
    <t>Hoitotarve pienempi kuin kasvillisuuspintaisella rakenteella. Vaatii roskien ja kiintoaineksen poistoa, suodattavan kerroksen läpäisevyyden ylläpitoa ja kaivon lietepesän tyhjennyksen (kerran vuodessa) (10).</t>
  </si>
  <si>
    <t>Hoitotarve pienempi kuin kasvillisuuspintaisella rakenteella. Vaatii roskien ja kiintoaineksen poistoa, suodattavan kerroksen läpäisevyyden ylläpitoa ja kaivon lietepesän tyhjennyksen (kerran vuodessa) (10)</t>
  </si>
  <si>
    <t>Pienempi merkitys pienvesien virtaamien tasaamisessa ja eroosion ehkäisyssä kuin imeytyspainanteella.</t>
  </si>
  <si>
    <t>Vieraslajit ovat yksi isoimmista alkuperäisen luonnon monimuotoisuutta uhkaavista tekijöistä. Luontolaskuri vähentää pisteitä, mikäli haitallisia vieraslajeja esiintyy tontilla rakentamisen jälkeen. Näiden lajien kasvattaminen on myös lain mukaan kiellettyä. Ohjaavana tavoitteena on poistaa tontilla ennen rakentamista mahdollisesti esiintyvät haitalliset vieraslajikasvustot sekä varmistaa, ettei rakentamisen jälkeen suunnitelmassa eikä toteutuneissa istutuksissa ole haitallisia vieraslajeja. Vieraslaji.fi -sivustolta tulee varmistaa ajantasainen listaus haitallisista vieraslajeista. Huomaa, että listaa päivitetään jatkuvasti tarpeen mukaan ja tiedon lisääntyessä. Tämä kohta koskee ainoastaan haitallisia vieraslajeja.</t>
  </si>
  <si>
    <t>Esimerkiksi jos pihalla on kolme yli 10 m² neliön kokoista istutusaluetta, joissa on istutettu eri lajeja 7, 9 ja 10 kpl, lajeja on keskimäärin (7+9+10)/3= 8,7 kpl. Tämä kohta koskee istuttamalla perustettuja alueita. Esimerkiksi kylvämällä perustetut niityt huomioidaan laskurin muissa kohdissa.</t>
  </si>
  <si>
    <t>Luontolaskuri-välilehdellä on väittämiä ja kysymyksiä, joiden avulla ohjataan suunnitteluratkaisuja luonnon monimuotoisuuden tukemiseen. Väittämät ja kysymykset on jaettu neljään kategoriaan: kasvillisuuden monilajisuus ja kerroksellisuus, lajiston kotoperäisyys, lajiston tukeminen pesäpaikkoja ja elinympäristöjä tarjoamalla sekä kukkivien ja satoa tuottavien lajien hyödyntäminen.
Luontolaskurista valitaan kaikki väittämät, jotka toteutuvat suunnitelmassa. Väittämien lisäksi laskurissa on kysymystä, joihin tulee valita pudotusvalikosta suunnitelmaa kuvaava vaihtoehto. Eri kohdista saa eri määrän pisteitä niiden vaikuttavuuden perusteella. Miinuspisteitä saa osasta kohtia, jos pihan ratkaisut edistävät luontokatoa / luonnon monimuotoisuuden köyhtymistä. Lisätietoa väittämistä ja kysymyksistä saa painamalla "i" (info) -valintanappia väittämän tai kysymyksen oikealla puolella, jolloin "Luontolaskurin lisätiedot"-välilehti aukeaa. 
Välilehden oikeaan ylänurkkaan päivittyy automaattisesti vastauksista annetuista pisteistä laskettava tulos, joka ilmaistaan sanallisessa muodossa.</t>
  </si>
  <si>
    <r>
      <t xml:space="preserve">Viherkatto: Niitty, keto tai heinä, kasvualustan paksuus 10–29 cm (paksuus toivotun lajiston mukaan, ks. </t>
    </r>
    <r>
      <rPr>
        <i/>
        <sz val="12"/>
        <color theme="1"/>
        <rFont val="Arial"/>
        <family val="2"/>
      </rPr>
      <t>Viherkertoimen lisätiedot</t>
    </r>
    <r>
      <rPr>
        <sz val="12"/>
        <color theme="1"/>
        <rFont val="Arial"/>
        <family val="2"/>
      </rPr>
      <t>)</t>
    </r>
  </si>
  <si>
    <r>
      <t xml:space="preserve">Viherkatto: Kattopuutarha, kasvualustan paksuus 30–100 cm (paksuus toivotun lajiston mukaan, ks. </t>
    </r>
    <r>
      <rPr>
        <i/>
        <sz val="12"/>
        <color theme="1"/>
        <rFont val="Arial"/>
        <family val="2"/>
      </rPr>
      <t>Viherkertoimen lisätiedot</t>
    </r>
    <r>
      <rPr>
        <sz val="12"/>
        <color theme="1"/>
        <rFont val="Arial"/>
        <family val="2"/>
      </rPr>
      <t>)</t>
    </r>
  </si>
  <si>
    <r>
      <t xml:space="preserve">Imeytys- tai viivytyspainanne kiviainespinnalla </t>
    </r>
    <r>
      <rPr>
        <b/>
        <sz val="11"/>
        <color theme="4" tint="-0.249977111117893"/>
        <rFont val="Arial"/>
        <family val="2"/>
      </rPr>
      <t xml:space="preserve">(viivyttävä rakenne, V)
</t>
    </r>
    <r>
      <rPr>
        <sz val="11"/>
        <color theme="1"/>
        <rFont val="Arial"/>
        <family val="2"/>
      </rPr>
      <t>Ympäröivää maastoa alempana oleva, kiviainespintainen viivyttävä tai pidättävä allas tai painanne viivyttää, pidättää, imeyttää ja haihduttaa hulevettä.</t>
    </r>
    <r>
      <rPr>
        <sz val="11"/>
        <rFont val="Arial"/>
        <family val="2"/>
      </rPr>
      <t xml:space="preserve"> Niiden tarkoitus on viivyttää, puhdistaa ja imeyttää hulevesiä ja mahdollisesti johtaa vettä eteenpäin kohti muita hallintarakenteita. Rakenteeseen voidaan asentaa erilaisia pohjapatoja tai –valleja edesauttamaan sedimenttien laskeutumista, virtaaman hidastumista ja huleveden imeytymistä maaperään. 
Imeytys vaatii läpäisevän maaperän ja soveltuu parhaiten suhteellisen puhtaiden hulevesien käsittelyyn. Erityisen likaisia hulevesiä (esim. raskaasti liikennöityjen katujen hulevedet) ei tule imeyttää suoraan maaperään, vaan niiden käsittelyssä tulee suosia pidätys- tai viivytysrakenteita. Likaiset hulevedet voidaan myös ennen kasvillisuudelle johtamista kerätä ensin kivetylle alueelle, jonne kiintoaines ja roskat laskeutuvat, ja josta ne voidaan tarvittaessa puhdistaa. </t>
    </r>
  </si>
  <si>
    <t>Vesielementti voi olla mikä tahansa luonnollinen tai sen kaltainen, jossa on vettä vähintään osan aikaa vuodesta, esimerkiksi oja, hulevesipainanne, luonnollinen tai rakennettu lampi. Puroille, joille ja järvien tai meren rantavyöhykkeeksi suositellaan huomattavasti leveämpää suojavyöhykettä. Vesielementiksi ei lasketa pieniä, erillisiä, rakennettuja vesiaiheita kuten suihkulähteet, lintujen kylpyaltaat jne. Luonnontilaisena säilyvä kasvillisuus tarkoittaa tässä mitä tahansa luonnollisesti kohtaan kehittynyttä tai kehittyvää kasvillisuutta, jota ei säännöllisesti hoideta.</t>
  </si>
  <si>
    <t>3/2024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</si>
</sst>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0.0\ %"/>
  </numFmts>
  <fonts count="89">
    <font>
      <sz val="11"/>
      <color theme="1"/>
      <name val="Calibri"/>
      <family val="2"/>
      <scheme val="minor"/>
    </font>
    <font>
      <sz val="12"/>
      <color theme="1"/>
      <name val="Calibri"/>
      <family val="2"/>
      <scheme val="minor"/>
    </font>
    <font>
      <sz val="10"/>
      <color theme="1"/>
      <name val="Calibri"/>
      <family val="2"/>
      <scheme val="minor"/>
    </font>
    <font>
      <b/>
      <sz val="16"/>
      <color theme="1"/>
      <name val="Calibri"/>
      <family val="2"/>
      <scheme val="minor"/>
    </font>
    <font>
      <u/>
      <sz val="11"/>
      <color theme="10"/>
      <name val="Calibri"/>
      <family val="2"/>
    </font>
    <font>
      <sz val="11"/>
      <color rgb="FF000000"/>
      <name val="Calibri"/>
      <family val="2"/>
    </font>
    <font>
      <sz val="10"/>
      <color theme="10"/>
      <name val="Calibri"/>
      <family val="2"/>
    </font>
    <font>
      <sz val="9"/>
      <color rgb="FF000000"/>
      <name val="Tahoma"/>
      <family val="2"/>
    </font>
    <font>
      <i/>
      <sz val="12"/>
      <color rgb="FF7F7F7F"/>
      <name val="Calibri"/>
      <family val="2"/>
      <scheme val="minor"/>
    </font>
    <font>
      <sz val="10"/>
      <color rgb="FF000000"/>
      <name val="Tahoma"/>
      <family val="2"/>
    </font>
    <font>
      <sz val="10"/>
      <color rgb="FF000000"/>
      <name val="Calibri"/>
      <family val="2"/>
    </font>
    <font>
      <sz val="11"/>
      <color theme="1"/>
      <name val="Calibri"/>
      <family val="2"/>
      <scheme val="minor"/>
    </font>
    <font>
      <sz val="8"/>
      <name val="Calibri"/>
      <family val="2"/>
      <scheme val="minor"/>
    </font>
    <font>
      <sz val="11"/>
      <color theme="1"/>
      <name val="Arial"/>
      <family val="2"/>
    </font>
    <font>
      <b/>
      <sz val="12"/>
      <color theme="1"/>
      <name val="Arial"/>
      <family val="2"/>
    </font>
    <font>
      <b/>
      <sz val="11"/>
      <color theme="1"/>
      <name val="Arial"/>
      <family val="2"/>
    </font>
    <font>
      <sz val="11"/>
      <color theme="1"/>
      <name val="Arial Bold"/>
    </font>
    <font>
      <sz val="16"/>
      <color theme="1"/>
      <name val="Arial Bold"/>
    </font>
    <font>
      <b/>
      <sz val="10"/>
      <color theme="1"/>
      <name val="Arial"/>
      <family val="2"/>
    </font>
    <font>
      <sz val="10"/>
      <color theme="1"/>
      <name val="Arial"/>
      <family val="2"/>
    </font>
    <font>
      <sz val="11"/>
      <name val="Arial"/>
      <family val="2"/>
    </font>
    <font>
      <b/>
      <sz val="11"/>
      <name val="Arial"/>
      <family val="2"/>
    </font>
    <font>
      <b/>
      <sz val="12"/>
      <name val="Arial"/>
      <family val="2"/>
    </font>
    <font>
      <sz val="12"/>
      <name val="Arial"/>
      <family val="2"/>
    </font>
    <font>
      <sz val="11"/>
      <color rgb="FFFF0000"/>
      <name val="Arial"/>
      <family val="2"/>
    </font>
    <font>
      <sz val="11"/>
      <color theme="9" tint="-0.249977111117893"/>
      <name val="Arial"/>
      <family val="2"/>
    </font>
    <font>
      <b/>
      <sz val="14"/>
      <color theme="0"/>
      <name val="Arial"/>
      <family val="2"/>
    </font>
    <font>
      <sz val="10"/>
      <name val="Arial"/>
      <family val="2"/>
    </font>
    <font>
      <b/>
      <sz val="14"/>
      <color theme="1"/>
      <name val="Arial"/>
      <family val="2"/>
    </font>
    <font>
      <i/>
      <sz val="11"/>
      <name val="Arial"/>
      <family val="2"/>
    </font>
    <font>
      <sz val="12"/>
      <color theme="1"/>
      <name val="Arial"/>
      <family val="2"/>
    </font>
    <font>
      <b/>
      <sz val="10"/>
      <name val="Arial"/>
      <family val="2"/>
    </font>
    <font>
      <i/>
      <sz val="10"/>
      <name val="Arial"/>
      <family val="2"/>
    </font>
    <font>
      <sz val="11"/>
      <color theme="0"/>
      <name val="Arial"/>
      <family val="2"/>
    </font>
    <font>
      <sz val="10"/>
      <color rgb="FFFF0000"/>
      <name val="Arial"/>
      <family val="2"/>
    </font>
    <font>
      <b/>
      <sz val="14"/>
      <name val="Arial"/>
      <family val="2"/>
    </font>
    <font>
      <b/>
      <sz val="10"/>
      <color theme="0"/>
      <name val="Arial"/>
      <family val="2"/>
    </font>
    <font>
      <b/>
      <sz val="11"/>
      <color theme="0"/>
      <name val="Arial"/>
      <family val="2"/>
    </font>
    <font>
      <sz val="10"/>
      <color theme="0"/>
      <name val="Arial"/>
      <family val="2"/>
    </font>
    <font>
      <vertAlign val="superscript"/>
      <sz val="12"/>
      <name val="Arial"/>
      <family val="2"/>
    </font>
    <font>
      <b/>
      <sz val="16"/>
      <color theme="0"/>
      <name val="Arial"/>
      <family val="2"/>
    </font>
    <font>
      <b/>
      <sz val="14"/>
      <color rgb="FFFF0000"/>
      <name val="Arial"/>
      <family val="2"/>
    </font>
    <font>
      <i/>
      <sz val="12"/>
      <color theme="0" tint="-0.499984740745262"/>
      <name val="Arial"/>
      <family val="2"/>
    </font>
    <font>
      <sz val="12"/>
      <color rgb="FFFF0000"/>
      <name val="Arial"/>
      <family val="2"/>
    </font>
    <font>
      <i/>
      <sz val="10"/>
      <color rgb="FF7F7F7F"/>
      <name val="Arial"/>
      <family val="2"/>
    </font>
    <font>
      <i/>
      <sz val="12"/>
      <color rgb="FF7F7F7F"/>
      <name val="Arial"/>
      <family val="2"/>
    </font>
    <font>
      <sz val="12"/>
      <color rgb="FF7F7F7F"/>
      <name val="Arial"/>
      <family val="2"/>
    </font>
    <font>
      <u/>
      <sz val="9"/>
      <color theme="10"/>
      <name val="Arial"/>
      <family val="2"/>
    </font>
    <font>
      <b/>
      <sz val="26"/>
      <color theme="1"/>
      <name val="Arial"/>
      <family val="2"/>
    </font>
    <font>
      <b/>
      <sz val="11"/>
      <color theme="9" tint="-0.249977111117893"/>
      <name val="Arial"/>
      <family val="2"/>
    </font>
    <font>
      <i/>
      <sz val="11"/>
      <color theme="1"/>
      <name val="Arial"/>
      <family val="2"/>
    </font>
    <font>
      <sz val="14"/>
      <color theme="0"/>
      <name val="Arial"/>
      <family val="2"/>
    </font>
    <font>
      <sz val="14"/>
      <color theme="1"/>
      <name val="Arial"/>
      <family val="2"/>
    </font>
    <font>
      <b/>
      <i/>
      <sz val="11"/>
      <name val="Arial"/>
      <family val="2"/>
    </font>
    <font>
      <i/>
      <u/>
      <sz val="10"/>
      <name val="Arial"/>
      <family val="2"/>
    </font>
    <font>
      <u/>
      <sz val="10"/>
      <name val="Arial"/>
      <family val="2"/>
    </font>
    <font>
      <b/>
      <sz val="10"/>
      <color theme="4" tint="-0.249977111117893"/>
      <name val="Arial"/>
      <family val="2"/>
    </font>
    <font>
      <strike/>
      <sz val="11"/>
      <color theme="0"/>
      <name val="Arial"/>
      <family val="2"/>
    </font>
    <font>
      <b/>
      <strike/>
      <sz val="10"/>
      <color theme="0"/>
      <name val="Arial"/>
      <family val="2"/>
    </font>
    <font>
      <strike/>
      <sz val="10"/>
      <color theme="1"/>
      <name val="Arial"/>
      <family val="2"/>
    </font>
    <font>
      <strike/>
      <sz val="11"/>
      <color theme="1"/>
      <name val="Arial"/>
      <family val="2"/>
    </font>
    <font>
      <sz val="10"/>
      <color rgb="FF222222"/>
      <name val="Arial"/>
      <family val="2"/>
    </font>
    <font>
      <b/>
      <sz val="11"/>
      <color rgb="FFFF0000"/>
      <name val="Arial"/>
      <family val="2"/>
    </font>
    <font>
      <sz val="14"/>
      <color rgb="FFFF0000"/>
      <name val="Arial"/>
      <family val="2"/>
    </font>
    <font>
      <sz val="9"/>
      <color rgb="FFFF0000"/>
      <name val="Arial"/>
      <family val="2"/>
    </font>
    <font>
      <i/>
      <sz val="11"/>
      <color rgb="FFFF0000"/>
      <name val="Arial"/>
      <family val="2"/>
    </font>
    <font>
      <strike/>
      <sz val="10"/>
      <color rgb="FFFF0000"/>
      <name val="Arial"/>
      <family val="2"/>
    </font>
    <font>
      <strike/>
      <sz val="11"/>
      <color rgb="FFFF0000"/>
      <name val="Arial"/>
      <family val="2"/>
    </font>
    <font>
      <strike/>
      <sz val="9"/>
      <color rgb="FFFF0000"/>
      <name val="Arial"/>
      <family val="2"/>
    </font>
    <font>
      <i/>
      <sz val="10"/>
      <color rgb="FF222222"/>
      <name val="Arial"/>
      <family val="2"/>
    </font>
    <font>
      <b/>
      <u/>
      <sz val="11"/>
      <name val="Arial"/>
      <family val="2"/>
    </font>
    <font>
      <sz val="16"/>
      <name val="Arial Bold"/>
    </font>
    <font>
      <b/>
      <sz val="24"/>
      <color theme="1"/>
      <name val="Arial"/>
      <family val="2"/>
    </font>
    <font>
      <sz val="12"/>
      <color theme="1"/>
      <name val="Arial Bold"/>
    </font>
    <font>
      <b/>
      <sz val="16"/>
      <name val="Arial"/>
      <family val="2"/>
    </font>
    <font>
      <vertAlign val="superscript"/>
      <sz val="10"/>
      <color theme="1"/>
      <name val="Arial"/>
      <family val="2"/>
    </font>
    <font>
      <b/>
      <vertAlign val="superscript"/>
      <sz val="10"/>
      <color theme="1"/>
      <name val="Arial"/>
      <family val="2"/>
    </font>
    <font>
      <sz val="11"/>
      <color theme="1"/>
      <name val="Calibri"/>
      <family val="2"/>
    </font>
    <font>
      <b/>
      <sz val="16"/>
      <color theme="1"/>
      <name val="Arial"/>
      <family val="2"/>
    </font>
    <font>
      <b/>
      <vertAlign val="superscript"/>
      <sz val="16"/>
      <color theme="1"/>
      <name val="Arial"/>
      <family val="2"/>
    </font>
    <font>
      <b/>
      <i/>
      <sz val="11"/>
      <color theme="1"/>
      <name val="Arial"/>
      <family val="2"/>
    </font>
    <font>
      <i/>
      <sz val="12"/>
      <name val="Arial"/>
      <family val="2"/>
    </font>
    <font>
      <b/>
      <sz val="12"/>
      <color rgb="FFD88C78"/>
      <name val="Arial"/>
      <family val="2"/>
    </font>
    <font>
      <b/>
      <sz val="12"/>
      <color rgb="FFFF0000"/>
      <name val="Arial"/>
      <family val="2"/>
    </font>
    <font>
      <b/>
      <sz val="12"/>
      <color theme="0"/>
      <name val="Arial"/>
      <family val="2"/>
    </font>
    <font>
      <b/>
      <i/>
      <sz val="12"/>
      <name val="Arial"/>
      <family val="2"/>
    </font>
    <font>
      <b/>
      <sz val="11"/>
      <color theme="4" tint="-0.249977111117893"/>
      <name val="Arial"/>
      <family val="2"/>
    </font>
    <font>
      <sz val="11"/>
      <name val="Calibri"/>
      <family val="2"/>
    </font>
    <font>
      <i/>
      <sz val="12"/>
      <color theme="1"/>
      <name val="Arial"/>
      <family val="2"/>
    </font>
  </fonts>
  <fills count="25">
    <fill>
      <patternFill patternType="none"/>
    </fill>
    <fill>
      <patternFill patternType="gray125"/>
    </fill>
    <fill>
      <patternFill patternType="solid">
        <fgColor theme="0"/>
        <bgColor indexed="64"/>
      </patternFill>
    </fill>
    <fill>
      <patternFill patternType="solid">
        <fgColor theme="0" tint="-4.9989318521683403E-2"/>
        <bgColor indexed="64"/>
      </patternFill>
    </fill>
    <fill>
      <patternFill patternType="solid">
        <fgColor rgb="FFFFFF00"/>
        <bgColor indexed="64"/>
      </patternFill>
    </fill>
    <fill>
      <patternFill patternType="solid">
        <fgColor theme="0"/>
        <bgColor rgb="FF000000"/>
      </patternFill>
    </fill>
    <fill>
      <patternFill patternType="solid">
        <fgColor rgb="FFFFFFFF"/>
        <bgColor rgb="FF000000"/>
      </patternFill>
    </fill>
    <fill>
      <patternFill patternType="solid">
        <fgColor rgb="FFCED6E7"/>
        <bgColor indexed="64"/>
      </patternFill>
    </fill>
    <fill>
      <patternFill patternType="solid">
        <fgColor rgb="FFEFF1F5"/>
        <bgColor indexed="64"/>
      </patternFill>
    </fill>
    <fill>
      <patternFill patternType="solid">
        <fgColor rgb="FFC2E4D2"/>
        <bgColor indexed="64"/>
      </patternFill>
    </fill>
    <fill>
      <patternFill patternType="solid">
        <fgColor rgb="FFE0F1E8"/>
        <bgColor indexed="64"/>
      </patternFill>
    </fill>
    <fill>
      <patternFill patternType="solid">
        <fgColor rgb="FFFFE69D"/>
        <bgColor indexed="64"/>
      </patternFill>
    </fill>
    <fill>
      <patternFill patternType="solid">
        <fgColor rgb="FFAFD2E3"/>
        <bgColor indexed="64"/>
      </patternFill>
    </fill>
    <fill>
      <patternFill patternType="solid">
        <fgColor rgb="FFE2EDF3"/>
        <bgColor indexed="64"/>
      </patternFill>
    </fill>
    <fill>
      <patternFill patternType="solid">
        <fgColor rgb="FFA6D9C4"/>
        <bgColor indexed="64"/>
      </patternFill>
    </fill>
    <fill>
      <patternFill patternType="solid">
        <fgColor rgb="FFDEF0E9"/>
        <bgColor indexed="64"/>
      </patternFill>
    </fill>
    <fill>
      <patternFill patternType="solid">
        <fgColor rgb="FFCCD4EC"/>
        <bgColor indexed="64"/>
      </patternFill>
    </fill>
    <fill>
      <patternFill patternType="solid">
        <fgColor rgb="FF7EBBD6"/>
        <bgColor indexed="64"/>
      </patternFill>
    </fill>
    <fill>
      <patternFill patternType="solid">
        <fgColor rgb="FFD88C78"/>
        <bgColor indexed="64"/>
      </patternFill>
    </fill>
    <fill>
      <patternFill patternType="solid">
        <fgColor rgb="FFEFD2C7"/>
        <bgColor indexed="64"/>
      </patternFill>
    </fill>
    <fill>
      <patternFill patternType="solid">
        <fgColor rgb="FFEFD2C7"/>
        <bgColor rgb="FF000000"/>
      </patternFill>
    </fill>
    <fill>
      <patternFill patternType="solid">
        <fgColor rgb="FF7B96CD"/>
        <bgColor indexed="64"/>
      </patternFill>
    </fill>
    <fill>
      <patternFill patternType="solid">
        <fgColor rgb="FFFFFFFF"/>
        <bgColor indexed="64"/>
      </patternFill>
    </fill>
    <fill>
      <patternFill patternType="solid">
        <fgColor rgb="FFFFF4DB"/>
        <bgColor indexed="64"/>
      </patternFill>
    </fill>
    <fill>
      <patternFill patternType="solid">
        <fgColor rgb="FF69C4A3"/>
        <bgColor indexed="64"/>
      </patternFill>
    </fill>
  </fills>
  <borders count="182">
    <border>
      <left/>
      <right/>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medium">
        <color indexed="64"/>
      </right>
      <top style="medium">
        <color indexed="64"/>
      </top>
      <bottom/>
      <diagonal/>
    </border>
    <border>
      <left style="medium">
        <color indexed="64"/>
      </left>
      <right/>
      <top style="medium">
        <color indexed="64"/>
      </top>
      <bottom/>
      <diagonal/>
    </border>
    <border>
      <left style="medium">
        <color indexed="64"/>
      </left>
      <right/>
      <top/>
      <bottom/>
      <diagonal/>
    </border>
    <border>
      <left style="medium">
        <color indexed="64"/>
      </left>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thin">
        <color indexed="64"/>
      </top>
      <bottom style="medium">
        <color indexed="64"/>
      </bottom>
      <diagonal/>
    </border>
    <border>
      <left/>
      <right style="medium">
        <color indexed="64"/>
      </right>
      <top/>
      <bottom style="medium">
        <color indexed="64"/>
      </bottom>
      <diagonal/>
    </border>
    <border>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style="thin">
        <color indexed="64"/>
      </top>
      <bottom style="thin">
        <color indexed="64"/>
      </bottom>
      <diagonal/>
    </border>
    <border>
      <left style="thin">
        <color indexed="64"/>
      </left>
      <right/>
      <top style="thin">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diagonal/>
    </border>
    <border>
      <left/>
      <right style="medium">
        <color indexed="64"/>
      </right>
      <top/>
      <bottom/>
      <diagonal/>
    </border>
    <border>
      <left/>
      <right/>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top/>
      <bottom/>
      <diagonal/>
    </border>
    <border>
      <left/>
      <right style="thin">
        <color indexed="64"/>
      </right>
      <top/>
      <bottom/>
      <diagonal/>
    </border>
    <border>
      <left style="medium">
        <color indexed="64"/>
      </left>
      <right style="medium">
        <color indexed="64"/>
      </right>
      <top/>
      <bottom style="thin">
        <color indexed="64"/>
      </bottom>
      <diagonal/>
    </border>
    <border>
      <left style="medium">
        <color indexed="64"/>
      </left>
      <right style="medium">
        <color indexed="64"/>
      </right>
      <top style="thin">
        <color indexed="64"/>
      </top>
      <bottom/>
      <diagonal/>
    </border>
    <border>
      <left style="thin">
        <color indexed="64"/>
      </left>
      <right style="thin">
        <color indexed="64"/>
      </right>
      <top style="medium">
        <color theme="1"/>
      </top>
      <bottom style="thin">
        <color indexed="64"/>
      </bottom>
      <diagonal/>
    </border>
    <border>
      <left style="medium">
        <color theme="1"/>
      </left>
      <right style="thin">
        <color theme="1"/>
      </right>
      <top style="thin">
        <color theme="1"/>
      </top>
      <bottom style="medium">
        <color theme="1"/>
      </bottom>
      <diagonal/>
    </border>
    <border>
      <left style="thin">
        <color theme="1"/>
      </left>
      <right style="thin">
        <color theme="1"/>
      </right>
      <top style="thin">
        <color theme="1"/>
      </top>
      <bottom style="medium">
        <color theme="1"/>
      </bottom>
      <diagonal/>
    </border>
    <border>
      <left style="thin">
        <color theme="1"/>
      </left>
      <right style="medium">
        <color theme="1"/>
      </right>
      <top style="thin">
        <color theme="1"/>
      </top>
      <bottom style="medium">
        <color theme="1"/>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diagonal/>
    </border>
    <border>
      <left/>
      <right style="thin">
        <color indexed="64"/>
      </right>
      <top style="medium">
        <color theme="1"/>
      </top>
      <bottom style="thin">
        <color indexed="64"/>
      </bottom>
      <diagonal/>
    </border>
    <border>
      <left style="thin">
        <color indexed="64"/>
      </left>
      <right/>
      <top style="medium">
        <color theme="1"/>
      </top>
      <bottom style="thin">
        <color indexed="64"/>
      </bottom>
      <diagonal/>
    </border>
    <border>
      <left style="thin">
        <color theme="1"/>
      </left>
      <right style="thin">
        <color theme="1"/>
      </right>
      <top style="medium">
        <color theme="1"/>
      </top>
      <bottom style="thin">
        <color theme="1"/>
      </bottom>
      <diagonal/>
    </border>
    <border>
      <left style="thin">
        <color theme="1"/>
      </left>
      <right style="medium">
        <color theme="1"/>
      </right>
      <top style="medium">
        <color theme="1"/>
      </top>
      <bottom style="thin">
        <color theme="1"/>
      </bottom>
      <diagonal/>
    </border>
    <border>
      <left style="medium">
        <color theme="1"/>
      </left>
      <right style="thin">
        <color theme="1"/>
      </right>
      <top style="medium">
        <color theme="1"/>
      </top>
      <bottom style="thin">
        <color theme="1"/>
      </bottom>
      <diagonal/>
    </border>
    <border>
      <left style="medium">
        <color theme="1"/>
      </left>
      <right style="medium">
        <color theme="1"/>
      </right>
      <top style="medium">
        <color theme="1"/>
      </top>
      <bottom style="thin">
        <color theme="1"/>
      </bottom>
      <diagonal/>
    </border>
    <border>
      <left style="medium">
        <color theme="1"/>
      </left>
      <right style="medium">
        <color theme="1"/>
      </right>
      <top style="thin">
        <color theme="1"/>
      </top>
      <bottom style="medium">
        <color theme="1"/>
      </bottom>
      <diagonal/>
    </border>
    <border>
      <left style="thin">
        <color rgb="FF9BACCF"/>
      </left>
      <right/>
      <top style="thin">
        <color rgb="FF9BACCF"/>
      </top>
      <bottom/>
      <diagonal/>
    </border>
    <border>
      <left/>
      <right/>
      <top style="thin">
        <color rgb="FF9BACCF"/>
      </top>
      <bottom/>
      <diagonal/>
    </border>
    <border>
      <left/>
      <right style="thin">
        <color rgb="FF9BACCF"/>
      </right>
      <top style="thin">
        <color rgb="FF9BACCF"/>
      </top>
      <bottom/>
      <diagonal/>
    </border>
    <border>
      <left style="thin">
        <color rgb="FF9BACCF"/>
      </left>
      <right/>
      <top/>
      <bottom/>
      <diagonal/>
    </border>
    <border>
      <left/>
      <right style="thin">
        <color rgb="FF9BACCF"/>
      </right>
      <top/>
      <bottom/>
      <diagonal/>
    </border>
    <border>
      <left style="thin">
        <color rgb="FF9BACCF"/>
      </left>
      <right/>
      <top/>
      <bottom style="thin">
        <color rgb="FF9BACCF"/>
      </bottom>
      <diagonal/>
    </border>
    <border>
      <left/>
      <right/>
      <top/>
      <bottom style="thin">
        <color rgb="FF9BACCF"/>
      </bottom>
      <diagonal/>
    </border>
    <border>
      <left/>
      <right style="thin">
        <color rgb="FF9BACCF"/>
      </right>
      <top/>
      <bottom style="thin">
        <color rgb="FF9BACCF"/>
      </bottom>
      <diagonal/>
    </border>
    <border>
      <left style="thin">
        <color rgb="FF9BACCF"/>
      </left>
      <right style="thin">
        <color rgb="FF9BACCF"/>
      </right>
      <top style="thin">
        <color rgb="FF9BACCF"/>
      </top>
      <bottom/>
      <diagonal/>
    </border>
    <border>
      <left style="thin">
        <color rgb="FF9BACCF"/>
      </left>
      <right style="thin">
        <color rgb="FF9BACCF"/>
      </right>
      <top/>
      <bottom/>
      <diagonal/>
    </border>
    <border>
      <left style="thin">
        <color rgb="FF9BACCF"/>
      </left>
      <right style="thin">
        <color rgb="FF9BACCF"/>
      </right>
      <top/>
      <bottom style="thin">
        <color rgb="FF9BACCF"/>
      </bottom>
      <diagonal/>
    </border>
    <border>
      <left style="thin">
        <color indexed="64"/>
      </left>
      <right style="medium">
        <color indexed="64"/>
      </right>
      <top style="thin">
        <color indexed="64"/>
      </top>
      <bottom style="medium">
        <color indexed="64"/>
      </bottom>
      <diagonal/>
    </border>
    <border>
      <left style="medium">
        <color rgb="FFD88C78"/>
      </left>
      <right style="medium">
        <color rgb="FFD88C78"/>
      </right>
      <top style="medium">
        <color rgb="FFD88C78"/>
      </top>
      <bottom style="medium">
        <color rgb="FFD88C78"/>
      </bottom>
      <diagonal/>
    </border>
    <border>
      <left style="thin">
        <color rgb="FFD88C78"/>
      </left>
      <right style="thin">
        <color rgb="FFD88C78"/>
      </right>
      <top style="thin">
        <color rgb="FFD88C78"/>
      </top>
      <bottom style="thin">
        <color rgb="FFD88C78"/>
      </bottom>
      <diagonal/>
    </border>
    <border>
      <left style="thin">
        <color rgb="FFD88C78"/>
      </left>
      <right style="thin">
        <color rgb="FFD88C78"/>
      </right>
      <top style="thin">
        <color rgb="FFD88C78"/>
      </top>
      <bottom/>
      <diagonal/>
    </border>
    <border>
      <left style="thin">
        <color rgb="FFD88C78"/>
      </left>
      <right style="thin">
        <color rgb="FFD88C78"/>
      </right>
      <top/>
      <bottom/>
      <diagonal/>
    </border>
    <border>
      <left style="thin">
        <color rgb="FFD88C78"/>
      </left>
      <right style="thin">
        <color rgb="FFD88C78"/>
      </right>
      <top/>
      <bottom style="thin">
        <color rgb="FFD88C78"/>
      </bottom>
      <diagonal/>
    </border>
    <border>
      <left/>
      <right/>
      <top style="thin">
        <color rgb="FFD88C78"/>
      </top>
      <bottom style="thin">
        <color rgb="FFD88C78"/>
      </bottom>
      <diagonal/>
    </border>
    <border>
      <left style="thin">
        <color rgb="FFD88C78"/>
      </left>
      <right/>
      <top style="thin">
        <color rgb="FFD88C78"/>
      </top>
      <bottom style="thin">
        <color rgb="FFD88C78"/>
      </bottom>
      <diagonal/>
    </border>
    <border>
      <left/>
      <right style="thin">
        <color rgb="FFD88C78"/>
      </right>
      <top style="thin">
        <color rgb="FFD88C78"/>
      </top>
      <bottom style="thin">
        <color rgb="FFD88C78"/>
      </bottom>
      <diagonal/>
    </border>
    <border>
      <left style="thin">
        <color rgb="FF69C4A3"/>
      </left>
      <right style="thin">
        <color rgb="FF69C4A3"/>
      </right>
      <top style="thin">
        <color rgb="FF69C4A3"/>
      </top>
      <bottom style="thin">
        <color rgb="FF69C4A3"/>
      </bottom>
      <diagonal/>
    </border>
    <border>
      <left style="thin">
        <color rgb="FF69C4A3"/>
      </left>
      <right style="thin">
        <color rgb="FF69C4A3"/>
      </right>
      <top style="thin">
        <color rgb="FF69C4A3"/>
      </top>
      <bottom/>
      <diagonal/>
    </border>
    <border>
      <left style="thin">
        <color rgb="FF69C4A3"/>
      </left>
      <right style="thin">
        <color rgb="FF69C4A3"/>
      </right>
      <top/>
      <bottom/>
      <diagonal/>
    </border>
    <border>
      <left style="thin">
        <color rgb="FF69C4A3"/>
      </left>
      <right style="thin">
        <color rgb="FF69C4A3"/>
      </right>
      <top style="thin">
        <color theme="0"/>
      </top>
      <bottom/>
      <diagonal/>
    </border>
    <border>
      <left style="thin">
        <color rgb="FF69C4A3"/>
      </left>
      <right style="thin">
        <color rgb="FF69C4A3"/>
      </right>
      <top/>
      <bottom style="thin">
        <color theme="0"/>
      </bottom>
      <diagonal/>
    </border>
    <border>
      <left style="thin">
        <color rgb="FF69C4A3"/>
      </left>
      <right style="thin">
        <color rgb="FF69C4A3"/>
      </right>
      <top/>
      <bottom style="thin">
        <color rgb="FF69C4A3"/>
      </bottom>
      <diagonal/>
    </border>
    <border>
      <left style="medium">
        <color rgb="FF69C4A3"/>
      </left>
      <right style="medium">
        <color rgb="FF69C4A3"/>
      </right>
      <top style="medium">
        <color rgb="FF69C4A3"/>
      </top>
      <bottom style="medium">
        <color rgb="FF69C4A3"/>
      </bottom>
      <diagonal/>
    </border>
    <border>
      <left/>
      <right/>
      <top style="medium">
        <color rgb="FF69C4A3"/>
      </top>
      <bottom/>
      <diagonal/>
    </border>
    <border>
      <left style="medium">
        <color rgb="FF69C4A3"/>
      </left>
      <right/>
      <top/>
      <bottom/>
      <diagonal/>
    </border>
    <border>
      <left/>
      <right/>
      <top/>
      <bottom style="medium">
        <color rgb="FF69C4A3"/>
      </bottom>
      <diagonal/>
    </border>
    <border>
      <left style="medium">
        <color rgb="FF69C4A3"/>
      </left>
      <right/>
      <top style="medium">
        <color rgb="FF69C4A3"/>
      </top>
      <bottom style="medium">
        <color rgb="FF69C4A3"/>
      </bottom>
      <diagonal/>
    </border>
    <border>
      <left/>
      <right style="medium">
        <color rgb="FF69C4A3"/>
      </right>
      <top style="medium">
        <color rgb="FF69C4A3"/>
      </top>
      <bottom style="medium">
        <color rgb="FF69C4A3"/>
      </bottom>
      <diagonal/>
    </border>
    <border>
      <left style="medium">
        <color rgb="FF69C4A3"/>
      </left>
      <right style="thin">
        <color rgb="FF69C4A3"/>
      </right>
      <top style="medium">
        <color rgb="FF69C4A3"/>
      </top>
      <bottom style="thin">
        <color rgb="FF69C4A3"/>
      </bottom>
      <diagonal/>
    </border>
    <border>
      <left style="medium">
        <color rgb="FF69C4A3"/>
      </left>
      <right style="thin">
        <color rgb="FF69C4A3"/>
      </right>
      <top style="thin">
        <color rgb="FF69C4A3"/>
      </top>
      <bottom style="thin">
        <color rgb="FF69C4A3"/>
      </bottom>
      <diagonal/>
    </border>
    <border>
      <left style="thin">
        <color rgb="FF7EBBD6"/>
      </left>
      <right style="thin">
        <color rgb="FF7EBBD6"/>
      </right>
      <top style="thin">
        <color rgb="FF7EBBD6"/>
      </top>
      <bottom/>
      <diagonal/>
    </border>
    <border>
      <left style="thin">
        <color rgb="FF7EBBD6"/>
      </left>
      <right style="thin">
        <color rgb="FF7EBBD6"/>
      </right>
      <top/>
      <bottom/>
      <diagonal/>
    </border>
    <border>
      <left style="thin">
        <color rgb="FF7EBBD6"/>
      </left>
      <right style="thin">
        <color rgb="FF7EBBD6"/>
      </right>
      <top style="thin">
        <color theme="0"/>
      </top>
      <bottom/>
      <diagonal/>
    </border>
    <border>
      <left style="thin">
        <color rgb="FF7EBBD6"/>
      </left>
      <right style="thin">
        <color rgb="FF7EBBD6"/>
      </right>
      <top/>
      <bottom style="thin">
        <color rgb="FF7EBBD6"/>
      </bottom>
      <diagonal/>
    </border>
    <border>
      <left style="thin">
        <color rgb="FFFED75D"/>
      </left>
      <right style="thin">
        <color rgb="FFFED75D"/>
      </right>
      <top style="thin">
        <color rgb="FFFED75D"/>
      </top>
      <bottom style="thin">
        <color rgb="FFFED75D"/>
      </bottom>
      <diagonal/>
    </border>
    <border>
      <left style="medium">
        <color rgb="FF69C4A3"/>
      </left>
      <right style="medium">
        <color rgb="FF69C4A3"/>
      </right>
      <top/>
      <bottom/>
      <diagonal/>
    </border>
    <border>
      <left/>
      <right style="thin">
        <color rgb="FF69C4A3"/>
      </right>
      <top style="medium">
        <color rgb="FF69C4A3"/>
      </top>
      <bottom style="thin">
        <color rgb="FF69C4A3"/>
      </bottom>
      <diagonal/>
    </border>
    <border>
      <left/>
      <right style="thin">
        <color rgb="FF69C4A3"/>
      </right>
      <top style="thin">
        <color rgb="FF69C4A3"/>
      </top>
      <bottom style="thin">
        <color rgb="FF69C4A3"/>
      </bottom>
      <diagonal/>
    </border>
    <border>
      <left/>
      <right style="thin">
        <color rgb="FF69C4A3"/>
      </right>
      <top style="thin">
        <color rgb="FF69C4A3"/>
      </top>
      <bottom style="medium">
        <color rgb="FF69C4A3"/>
      </bottom>
      <diagonal/>
    </border>
    <border>
      <left/>
      <right/>
      <top style="thin">
        <color rgb="FF69C4A3"/>
      </top>
      <bottom style="thin">
        <color rgb="FF69C4A3"/>
      </bottom>
      <diagonal/>
    </border>
    <border>
      <left style="thin">
        <color rgb="FF69C4A3"/>
      </left>
      <right/>
      <top style="medium">
        <color rgb="FF69C4A3"/>
      </top>
      <bottom style="thin">
        <color rgb="FF69C4A3"/>
      </bottom>
      <diagonal/>
    </border>
    <border>
      <left style="thin">
        <color rgb="FF69C4A3"/>
      </left>
      <right/>
      <top style="thin">
        <color rgb="FF69C4A3"/>
      </top>
      <bottom style="thin">
        <color rgb="FF69C4A3"/>
      </bottom>
      <diagonal/>
    </border>
    <border>
      <left style="thin">
        <color rgb="FF69C4A3"/>
      </left>
      <right/>
      <top style="thin">
        <color rgb="FF69C4A3"/>
      </top>
      <bottom style="medium">
        <color rgb="FF69C4A3"/>
      </bottom>
      <diagonal/>
    </border>
    <border>
      <left/>
      <right/>
      <top style="medium">
        <color rgb="FF69C4A3"/>
      </top>
      <bottom style="thin">
        <color rgb="FF69C4A3"/>
      </bottom>
      <diagonal/>
    </border>
    <border>
      <left style="medium">
        <color rgb="FF69C4A3"/>
      </left>
      <right style="medium">
        <color rgb="FF69C4A3"/>
      </right>
      <top/>
      <bottom style="medium">
        <color rgb="FF69C4A3"/>
      </bottom>
      <diagonal/>
    </border>
    <border>
      <left style="medium">
        <color rgb="FF69C4A3"/>
      </left>
      <right style="medium">
        <color rgb="FF69C4A3"/>
      </right>
      <top style="medium">
        <color rgb="FF69C4A3"/>
      </top>
      <bottom/>
      <diagonal/>
    </border>
    <border>
      <left/>
      <right/>
      <top style="thin">
        <color rgb="FF69C4A3"/>
      </top>
      <bottom/>
      <diagonal/>
    </border>
    <border>
      <left style="medium">
        <color rgb="FF69C4A3"/>
      </left>
      <right/>
      <top style="medium">
        <color rgb="FF69C4A3"/>
      </top>
      <bottom style="thin">
        <color rgb="FF69C4A3"/>
      </bottom>
      <diagonal/>
    </border>
    <border>
      <left style="medium">
        <color indexed="64"/>
      </left>
      <right style="medium">
        <color rgb="FF69C4A3"/>
      </right>
      <top style="medium">
        <color rgb="FF69C4A3"/>
      </top>
      <bottom style="thin">
        <color rgb="FF69C4A3"/>
      </bottom>
      <diagonal/>
    </border>
    <border>
      <left style="medium">
        <color rgb="FF69C4A3"/>
      </left>
      <right/>
      <top style="thin">
        <color rgb="FF69C4A3"/>
      </top>
      <bottom style="thin">
        <color rgb="FF69C4A3"/>
      </bottom>
      <diagonal/>
    </border>
    <border>
      <left style="medium">
        <color indexed="64"/>
      </left>
      <right style="medium">
        <color rgb="FF69C4A3"/>
      </right>
      <top style="thin">
        <color rgb="FF69C4A3"/>
      </top>
      <bottom style="thin">
        <color rgb="FF69C4A3"/>
      </bottom>
      <diagonal/>
    </border>
    <border>
      <left style="medium">
        <color rgb="FF69C4A3"/>
      </left>
      <right/>
      <top style="thin">
        <color rgb="FF69C4A3"/>
      </top>
      <bottom style="medium">
        <color rgb="FF69C4A3"/>
      </bottom>
      <diagonal/>
    </border>
    <border>
      <left style="medium">
        <color indexed="64"/>
      </left>
      <right style="medium">
        <color rgb="FF69C4A3"/>
      </right>
      <top style="thin">
        <color rgb="FF69C4A3"/>
      </top>
      <bottom style="medium">
        <color rgb="FF69C4A3"/>
      </bottom>
      <diagonal/>
    </border>
    <border>
      <left style="medium">
        <color rgb="FF69C4A3"/>
      </left>
      <right style="medium">
        <color theme="1"/>
      </right>
      <top/>
      <bottom style="thin">
        <color rgb="FF69C4A3"/>
      </bottom>
      <diagonal/>
    </border>
    <border>
      <left/>
      <right style="medium">
        <color rgb="FF69C4A3"/>
      </right>
      <top/>
      <bottom style="thin">
        <color rgb="FF69C4A3"/>
      </bottom>
      <diagonal/>
    </border>
    <border>
      <left style="medium">
        <color rgb="FF69C4A3"/>
      </left>
      <right style="medium">
        <color theme="1"/>
      </right>
      <top style="thin">
        <color rgb="FF69C4A3"/>
      </top>
      <bottom style="thin">
        <color rgb="FF69C4A3"/>
      </bottom>
      <diagonal/>
    </border>
    <border>
      <left/>
      <right style="medium">
        <color rgb="FF69C4A3"/>
      </right>
      <top style="thin">
        <color rgb="FF69C4A3"/>
      </top>
      <bottom style="thin">
        <color rgb="FF69C4A3"/>
      </bottom>
      <diagonal/>
    </border>
    <border>
      <left style="medium">
        <color rgb="FF69C4A3"/>
      </left>
      <right style="medium">
        <color indexed="64"/>
      </right>
      <top style="thin">
        <color rgb="FF69C4A3"/>
      </top>
      <bottom style="thin">
        <color rgb="FF69C4A3"/>
      </bottom>
      <diagonal/>
    </border>
    <border>
      <left/>
      <right style="medium">
        <color rgb="FF69C4A3"/>
      </right>
      <top style="thin">
        <color rgb="FF69C4A3"/>
      </top>
      <bottom/>
      <diagonal/>
    </border>
    <border>
      <left style="medium">
        <color theme="1"/>
      </left>
      <right style="medium">
        <color rgb="FF69C4A3"/>
      </right>
      <top style="thin">
        <color rgb="FF69C4A3"/>
      </top>
      <bottom style="thin">
        <color rgb="FF69C4A3"/>
      </bottom>
      <diagonal/>
    </border>
    <border>
      <left style="medium">
        <color rgb="FF69C4A3"/>
      </left>
      <right/>
      <top style="thin">
        <color rgb="FF69C4A3"/>
      </top>
      <bottom/>
      <diagonal/>
    </border>
    <border>
      <left style="medium">
        <color rgb="FF69C4A3"/>
      </left>
      <right style="medium">
        <color indexed="64"/>
      </right>
      <top style="medium">
        <color rgb="FF69C4A3"/>
      </top>
      <bottom style="thin">
        <color rgb="FF69C4A3"/>
      </bottom>
      <diagonal/>
    </border>
    <border>
      <left style="medium">
        <color rgb="FF69C4A3"/>
      </left>
      <right style="medium">
        <color indexed="64"/>
      </right>
      <top style="thin">
        <color rgb="FF69C4A3"/>
      </top>
      <bottom style="medium">
        <color rgb="FF69C4A3"/>
      </bottom>
      <diagonal/>
    </border>
    <border>
      <left/>
      <right style="medium">
        <color rgb="FF69C4A3"/>
      </right>
      <top style="thin">
        <color rgb="FF69C4A3"/>
      </top>
      <bottom style="medium">
        <color rgb="FF69C4A3"/>
      </bottom>
      <diagonal/>
    </border>
    <border>
      <left style="medium">
        <color rgb="FF69C4A3"/>
      </left>
      <right style="medium">
        <color theme="1"/>
      </right>
      <top style="medium">
        <color rgb="FF69C4A3"/>
      </top>
      <bottom style="thin">
        <color rgb="FF69C4A3"/>
      </bottom>
      <diagonal/>
    </border>
    <border>
      <left style="medium">
        <color theme="1"/>
      </left>
      <right style="medium">
        <color rgb="FF69C4A3"/>
      </right>
      <top style="medium">
        <color rgb="FF69C4A3"/>
      </top>
      <bottom style="thin">
        <color rgb="FF69C4A3"/>
      </bottom>
      <diagonal/>
    </border>
    <border>
      <left style="medium">
        <color rgb="FF69C4A3"/>
      </left>
      <right style="medium">
        <color theme="1"/>
      </right>
      <top style="thin">
        <color rgb="FF69C4A3"/>
      </top>
      <bottom style="medium">
        <color rgb="FF69C4A3"/>
      </bottom>
      <diagonal/>
    </border>
    <border>
      <left/>
      <right/>
      <top style="medium">
        <color rgb="FF69C4A3"/>
      </top>
      <bottom style="medium">
        <color rgb="FF69C4A3"/>
      </bottom>
      <diagonal/>
    </border>
    <border>
      <left/>
      <right/>
      <top style="thin">
        <color rgb="FF69C4A3"/>
      </top>
      <bottom style="medium">
        <color rgb="FF69C4A3"/>
      </bottom>
      <diagonal/>
    </border>
    <border>
      <left/>
      <right style="medium">
        <color rgb="FF69C4A3"/>
      </right>
      <top style="medium">
        <color rgb="FF69C4A3"/>
      </top>
      <bottom/>
      <diagonal/>
    </border>
    <border>
      <left style="medium">
        <color rgb="FF69C4A3"/>
      </left>
      <right style="medium">
        <color rgb="FF69C4A3"/>
      </right>
      <top style="medium">
        <color rgb="FF69C4A3"/>
      </top>
      <bottom style="thin">
        <color rgb="FF69C4A3"/>
      </bottom>
      <diagonal/>
    </border>
    <border>
      <left style="medium">
        <color rgb="FF69C4A3"/>
      </left>
      <right style="medium">
        <color rgb="FF69C4A3"/>
      </right>
      <top style="thin">
        <color rgb="FF69C4A3"/>
      </top>
      <bottom style="thin">
        <color rgb="FF69C4A3"/>
      </bottom>
      <diagonal/>
    </border>
    <border>
      <left style="medium">
        <color rgb="FF69C4A3"/>
      </left>
      <right style="medium">
        <color rgb="FF69C4A3"/>
      </right>
      <top style="thin">
        <color rgb="FF69C4A3"/>
      </top>
      <bottom style="medium">
        <color rgb="FF69C4A3"/>
      </bottom>
      <diagonal/>
    </border>
    <border>
      <left style="medium">
        <color rgb="FF69C4A3"/>
      </left>
      <right style="medium">
        <color rgb="FF69C4A3"/>
      </right>
      <top style="thin">
        <color rgb="FF69C4A3"/>
      </top>
      <bottom/>
      <diagonal/>
    </border>
    <border>
      <left style="medium">
        <color rgb="FF69C4A3"/>
      </left>
      <right style="medium">
        <color rgb="FF69C4A3"/>
      </right>
      <top/>
      <bottom style="thin">
        <color rgb="FF69C4A3"/>
      </bottom>
      <diagonal/>
    </border>
    <border>
      <left/>
      <right/>
      <top/>
      <bottom style="thin">
        <color rgb="FF69C4A3"/>
      </bottom>
      <diagonal/>
    </border>
    <border>
      <left style="medium">
        <color rgb="FF69C4A3"/>
      </left>
      <right/>
      <top style="medium">
        <color rgb="FF69C4A3"/>
      </top>
      <bottom/>
      <diagonal/>
    </border>
    <border>
      <left style="thin">
        <color rgb="FF69C4A3"/>
      </left>
      <right/>
      <top style="thin">
        <color rgb="FF69C4A3"/>
      </top>
      <bottom/>
      <diagonal/>
    </border>
    <border>
      <left/>
      <right style="thin">
        <color rgb="FF69C4A3"/>
      </right>
      <top style="thin">
        <color rgb="FF69C4A3"/>
      </top>
      <bottom/>
      <diagonal/>
    </border>
    <border>
      <left style="thin">
        <color rgb="FF69C4A3"/>
      </left>
      <right/>
      <top/>
      <bottom style="thin">
        <color theme="0"/>
      </bottom>
      <diagonal/>
    </border>
    <border>
      <left/>
      <right style="thin">
        <color rgb="FF69C4A3"/>
      </right>
      <top/>
      <bottom style="thin">
        <color theme="0"/>
      </bottom>
      <diagonal/>
    </border>
    <border>
      <left style="thin">
        <color rgb="FF69C4A3"/>
      </left>
      <right/>
      <top/>
      <bottom/>
      <diagonal/>
    </border>
    <border>
      <left/>
      <right style="thin">
        <color rgb="FF69C4A3"/>
      </right>
      <top/>
      <bottom/>
      <diagonal/>
    </border>
    <border>
      <left style="thin">
        <color rgb="FF69C4A3"/>
      </left>
      <right/>
      <top/>
      <bottom style="thin">
        <color rgb="FF69C4A3"/>
      </bottom>
      <diagonal/>
    </border>
    <border>
      <left/>
      <right style="thin">
        <color rgb="FF69C4A3"/>
      </right>
      <top/>
      <bottom style="thin">
        <color rgb="FF69C4A3"/>
      </bottom>
      <diagonal/>
    </border>
    <border>
      <left style="thin">
        <color rgb="FFFED75D"/>
      </left>
      <right/>
      <top style="thin">
        <color rgb="FFFED75D"/>
      </top>
      <bottom/>
      <diagonal/>
    </border>
    <border>
      <left/>
      <right/>
      <top style="thin">
        <color rgb="FFFED75D"/>
      </top>
      <bottom/>
      <diagonal/>
    </border>
    <border>
      <left/>
      <right style="thin">
        <color rgb="FFFED75D"/>
      </right>
      <top style="thin">
        <color rgb="FFFED75D"/>
      </top>
      <bottom/>
      <diagonal/>
    </border>
    <border>
      <left style="thin">
        <color rgb="FFFED75D"/>
      </left>
      <right/>
      <top/>
      <bottom/>
      <diagonal/>
    </border>
    <border>
      <left/>
      <right style="thin">
        <color rgb="FFFED75D"/>
      </right>
      <top/>
      <bottom/>
      <diagonal/>
    </border>
    <border>
      <left style="thin">
        <color rgb="FFFED75D"/>
      </left>
      <right/>
      <top/>
      <bottom style="thin">
        <color rgb="FFFED75D"/>
      </bottom>
      <diagonal/>
    </border>
    <border>
      <left/>
      <right/>
      <top/>
      <bottom style="thin">
        <color rgb="FFFED75D"/>
      </bottom>
      <diagonal/>
    </border>
    <border>
      <left/>
      <right style="thin">
        <color rgb="FFFED75D"/>
      </right>
      <top/>
      <bottom style="thin">
        <color rgb="FFFED75D"/>
      </bottom>
      <diagonal/>
    </border>
    <border>
      <left style="thin">
        <color rgb="FF7EBBD6"/>
      </left>
      <right style="thin">
        <color rgb="FF7EBBD6"/>
      </right>
      <top/>
      <bottom style="thin">
        <color theme="0"/>
      </bottom>
      <diagonal/>
    </border>
    <border>
      <left style="medium">
        <color rgb="FF69C4A3"/>
      </left>
      <right style="thin">
        <color rgb="FF69C4A3"/>
      </right>
      <top style="thin">
        <color rgb="FF69C4A3"/>
      </top>
      <bottom style="medium">
        <color rgb="FF69C4A3"/>
      </bottom>
      <diagonal/>
    </border>
    <border>
      <left style="thin">
        <color rgb="FF69C4A3"/>
      </left>
      <right style="thin">
        <color rgb="FF69C4A3"/>
      </right>
      <top style="thin">
        <color rgb="FF69C4A3"/>
      </top>
      <bottom style="medium">
        <color rgb="FF69C4A3"/>
      </bottom>
      <diagonal/>
    </border>
    <border>
      <left style="medium">
        <color rgb="FF69C4A3"/>
      </left>
      <right style="thin">
        <color rgb="FF69C4A3"/>
      </right>
      <top style="thin">
        <color rgb="FF69C4A3"/>
      </top>
      <bottom/>
      <diagonal/>
    </border>
    <border>
      <left style="medium">
        <color rgb="FF69C4A3"/>
      </left>
      <right style="thin">
        <color rgb="FF69C4A3"/>
      </right>
      <top style="medium">
        <color rgb="FF69C4A3"/>
      </top>
      <bottom style="medium">
        <color rgb="FF69C4A3"/>
      </bottom>
      <diagonal/>
    </border>
    <border>
      <left style="thin">
        <color rgb="FF69C4A3"/>
      </left>
      <right style="thin">
        <color rgb="FF69C4A3"/>
      </right>
      <top style="medium">
        <color rgb="FF69C4A3"/>
      </top>
      <bottom style="medium">
        <color rgb="FF69C4A3"/>
      </bottom>
      <diagonal/>
    </border>
    <border>
      <left style="thin">
        <color rgb="FF69C4A3"/>
      </left>
      <right style="thin">
        <color rgb="FF69C4A3"/>
      </right>
      <top style="medium">
        <color rgb="FF69C4A3"/>
      </top>
      <bottom style="thin">
        <color rgb="FF69C4A3"/>
      </bottom>
      <diagonal/>
    </border>
    <border>
      <left style="thin">
        <color rgb="FF69C4A3"/>
      </left>
      <right style="medium">
        <color rgb="FF69C4A3"/>
      </right>
      <top style="medium">
        <color rgb="FF69C4A3"/>
      </top>
      <bottom style="thin">
        <color rgb="FF69C4A3"/>
      </bottom>
      <diagonal/>
    </border>
    <border>
      <left style="thin">
        <color rgb="FF69C4A3"/>
      </left>
      <right style="medium">
        <color rgb="FF69C4A3"/>
      </right>
      <top style="thin">
        <color rgb="FF69C4A3"/>
      </top>
      <bottom style="thin">
        <color rgb="FF69C4A3"/>
      </bottom>
      <diagonal/>
    </border>
    <border>
      <left style="thin">
        <color rgb="FF69C4A3"/>
      </left>
      <right style="medium">
        <color rgb="FF69C4A3"/>
      </right>
      <top style="thin">
        <color rgb="FF69C4A3"/>
      </top>
      <bottom style="medium">
        <color rgb="FF69C4A3"/>
      </bottom>
      <diagonal/>
    </border>
    <border>
      <left style="medium">
        <color rgb="FF69C4A3"/>
      </left>
      <right style="thin">
        <color rgb="FF69C4A3"/>
      </right>
      <top style="medium">
        <color indexed="64"/>
      </top>
      <bottom style="medium">
        <color rgb="FF69C4A3"/>
      </bottom>
      <diagonal/>
    </border>
    <border>
      <left style="thin">
        <color rgb="FF69C4A3"/>
      </left>
      <right style="thin">
        <color rgb="FF69C4A3"/>
      </right>
      <top style="medium">
        <color indexed="64"/>
      </top>
      <bottom style="medium">
        <color rgb="FF69C4A3"/>
      </bottom>
      <diagonal/>
    </border>
    <border>
      <left/>
      <right style="medium">
        <color rgb="FF69C4A3"/>
      </right>
      <top style="medium">
        <color rgb="FF69C4A3"/>
      </top>
      <bottom style="thin">
        <color rgb="FF69C4A3"/>
      </bottom>
      <diagonal/>
    </border>
    <border>
      <left style="medium">
        <color rgb="FF69C4A3"/>
      </left>
      <right/>
      <top/>
      <bottom style="thin">
        <color indexed="64"/>
      </bottom>
      <diagonal/>
    </border>
    <border>
      <left style="medium">
        <color rgb="FF69C4A3"/>
      </left>
      <right/>
      <top style="thin">
        <color indexed="64"/>
      </top>
      <bottom style="medium">
        <color rgb="FF69C4A3"/>
      </bottom>
      <diagonal/>
    </border>
    <border>
      <left style="thin">
        <color rgb="FF69C4A3"/>
      </left>
      <right/>
      <top style="medium">
        <color indexed="64"/>
      </top>
      <bottom style="medium">
        <color rgb="FF69C4A3"/>
      </bottom>
      <diagonal/>
    </border>
    <border>
      <left style="thin">
        <color rgb="FFFED75D"/>
      </left>
      <right style="thin">
        <color rgb="FFFED75D"/>
      </right>
      <top style="thin">
        <color rgb="FFFED75D"/>
      </top>
      <bottom/>
      <diagonal/>
    </border>
    <border>
      <left style="thin">
        <color rgb="FFFED75D"/>
      </left>
      <right style="thin">
        <color rgb="FFFED75D"/>
      </right>
      <top/>
      <bottom/>
      <diagonal/>
    </border>
    <border>
      <left style="thin">
        <color rgb="FFFED75D"/>
      </left>
      <right style="thin">
        <color rgb="FFFED75D"/>
      </right>
      <top/>
      <bottom style="thin">
        <color rgb="FFFED75D"/>
      </bottom>
      <diagonal/>
    </border>
    <border>
      <left style="medium">
        <color indexed="64"/>
      </left>
      <right/>
      <top/>
      <bottom style="thin">
        <color indexed="64"/>
      </bottom>
      <diagonal/>
    </border>
    <border>
      <left style="medium">
        <color rgb="FF69C4A3"/>
      </left>
      <right/>
      <top/>
      <bottom style="medium">
        <color rgb="FF69C4A3"/>
      </bottom>
      <diagonal/>
    </border>
    <border>
      <left/>
      <right style="medium">
        <color rgb="FF69C4A3"/>
      </right>
      <top/>
      <bottom/>
      <diagonal/>
    </border>
    <border>
      <left/>
      <right style="medium">
        <color rgb="FF69C4A3"/>
      </right>
      <top/>
      <bottom style="medium">
        <color rgb="FF69C4A3"/>
      </bottom>
      <diagonal/>
    </border>
    <border>
      <left style="thin">
        <color rgb="FFD88C78"/>
      </left>
      <right style="thin">
        <color rgb="FFD88C78"/>
      </right>
      <top style="thin">
        <color theme="0"/>
      </top>
      <bottom style="thin">
        <color rgb="FFD88C78"/>
      </bottom>
      <diagonal/>
    </border>
    <border>
      <left style="thin">
        <color rgb="FFD88C78"/>
      </left>
      <right style="thin">
        <color rgb="FFD88C78"/>
      </right>
      <top style="thin">
        <color rgb="FFD88C78"/>
      </top>
      <bottom style="thin">
        <color theme="0"/>
      </bottom>
      <diagonal/>
    </border>
    <border>
      <left style="medium">
        <color rgb="FF69C4A3"/>
      </left>
      <right style="thin">
        <color rgb="FF69C4A3"/>
      </right>
      <top/>
      <bottom/>
      <diagonal/>
    </border>
  </borders>
  <cellStyleXfs count="4">
    <xf numFmtId="0" fontId="0" fillId="0" borderId="0"/>
    <xf numFmtId="0" fontId="4" fillId="0" borderId="0" applyNumberFormat="0" applyFill="0" applyBorder="0" applyAlignment="0" applyProtection="0">
      <alignment vertical="top"/>
      <protection locked="0"/>
    </xf>
    <xf numFmtId="0" fontId="8" fillId="0" borderId="0" applyNumberFormat="0" applyFill="0" applyBorder="0" applyAlignment="0" applyProtection="0"/>
    <xf numFmtId="0" fontId="11" fillId="3" borderId="1">
      <alignment horizontal="center" vertical="top" wrapText="1"/>
    </xf>
  </cellStyleXfs>
  <cellXfs count="916">
    <xf numFmtId="0" fontId="0" fillId="0" borderId="0" xfId="0"/>
    <xf numFmtId="0" fontId="0" fillId="2" borderId="0" xfId="0" applyFill="1"/>
    <xf numFmtId="0" fontId="0" fillId="2" borderId="16" xfId="0" applyFill="1" applyBorder="1"/>
    <xf numFmtId="0" fontId="0" fillId="2" borderId="38" xfId="0" applyFill="1" applyBorder="1"/>
    <xf numFmtId="0" fontId="0" fillId="2" borderId="17" xfId="0" applyFill="1" applyBorder="1"/>
    <xf numFmtId="0" fontId="0" fillId="2" borderId="21" xfId="0" applyFill="1" applyBorder="1"/>
    <xf numFmtId="0" fontId="3" fillId="2" borderId="0" xfId="0" applyFont="1" applyFill="1"/>
    <xf numFmtId="0" fontId="2" fillId="2" borderId="0" xfId="0" applyFont="1" applyFill="1"/>
    <xf numFmtId="0" fontId="2" fillId="2" borderId="0" xfId="0" applyFont="1" applyFill="1" applyAlignment="1">
      <alignment vertical="top" wrapText="1"/>
    </xf>
    <xf numFmtId="0" fontId="2" fillId="2" borderId="16" xfId="0" applyFont="1" applyFill="1" applyBorder="1"/>
    <xf numFmtId="0" fontId="2" fillId="2" borderId="0" xfId="0" applyFont="1" applyFill="1" applyAlignment="1">
      <alignment wrapText="1"/>
    </xf>
    <xf numFmtId="0" fontId="6" fillId="2" borderId="0" xfId="1" applyFont="1" applyFill="1" applyBorder="1" applyAlignment="1" applyProtection="1">
      <alignment horizontal="left"/>
    </xf>
    <xf numFmtId="0" fontId="6" fillId="2" borderId="0" xfId="1" applyFont="1" applyFill="1" applyBorder="1" applyAlignment="1" applyProtection="1"/>
    <xf numFmtId="0" fontId="6" fillId="2" borderId="0" xfId="1" applyFont="1" applyFill="1" applyBorder="1" applyAlignment="1" applyProtection="1">
      <alignment vertical="center"/>
    </xf>
    <xf numFmtId="0" fontId="0" fillId="2" borderId="38" xfId="0" applyFill="1" applyBorder="1" applyAlignment="1">
      <alignment vertical="top" wrapText="1"/>
    </xf>
    <xf numFmtId="0" fontId="0" fillId="2" borderId="15" xfId="0" applyFill="1" applyBorder="1"/>
    <xf numFmtId="0" fontId="13" fillId="0" borderId="0" xfId="0" applyFont="1"/>
    <xf numFmtId="0" fontId="17" fillId="2" borderId="22" xfId="0" applyFont="1" applyFill="1" applyBorder="1" applyAlignment="1">
      <alignment wrapText="1"/>
    </xf>
    <xf numFmtId="0" fontId="20" fillId="2" borderId="0" xfId="0" applyFont="1" applyFill="1"/>
    <xf numFmtId="0" fontId="23" fillId="2" borderId="0" xfId="0" applyFont="1" applyFill="1"/>
    <xf numFmtId="0" fontId="24" fillId="2" borderId="0" xfId="0" applyFont="1" applyFill="1"/>
    <xf numFmtId="0" fontId="25" fillId="2" borderId="0" xfId="0" applyFont="1" applyFill="1"/>
    <xf numFmtId="0" fontId="27" fillId="2" borderId="0" xfId="0" applyFont="1" applyFill="1"/>
    <xf numFmtId="0" fontId="20" fillId="2" borderId="0" xfId="0" applyFont="1" applyFill="1" applyAlignment="1">
      <alignment horizontal="center" vertical="center"/>
    </xf>
    <xf numFmtId="0" fontId="27" fillId="5" borderId="0" xfId="0" applyFont="1" applyFill="1" applyAlignment="1" applyProtection="1">
      <alignment horizontal="center" vertical="center"/>
      <protection locked="0"/>
    </xf>
    <xf numFmtId="0" fontId="27" fillId="2" borderId="0" xfId="0" applyFont="1" applyFill="1" applyAlignment="1">
      <alignment horizontal="center"/>
    </xf>
    <xf numFmtId="0" fontId="29" fillId="2" borderId="0" xfId="0" applyFont="1" applyFill="1" applyAlignment="1">
      <alignment horizontal="center" vertical="center"/>
    </xf>
    <xf numFmtId="0" fontId="24" fillId="2" borderId="0" xfId="0" applyFont="1" applyFill="1" applyAlignment="1">
      <alignment vertical="center"/>
    </xf>
    <xf numFmtId="0" fontId="24" fillId="2" borderId="5" xfId="0" applyFont="1" applyFill="1" applyBorder="1" applyProtection="1">
      <protection locked="0"/>
    </xf>
    <xf numFmtId="0" fontId="31" fillId="2" borderId="5" xfId="0" applyFont="1" applyFill="1" applyBorder="1" applyAlignment="1" applyProtection="1">
      <alignment horizontal="center" vertical="center"/>
      <protection locked="0"/>
    </xf>
    <xf numFmtId="0" fontId="20" fillId="2" borderId="5" xfId="0" applyFont="1" applyFill="1" applyBorder="1" applyProtection="1">
      <protection locked="0"/>
    </xf>
    <xf numFmtId="0" fontId="20" fillId="2" borderId="42" xfId="0" applyFont="1" applyFill="1" applyBorder="1" applyProtection="1">
      <protection locked="0"/>
    </xf>
    <xf numFmtId="0" fontId="31" fillId="2" borderId="0" xfId="0" applyFont="1" applyFill="1" applyProtection="1">
      <protection locked="0"/>
    </xf>
    <xf numFmtId="0" fontId="20" fillId="2" borderId="0" xfId="0" applyFont="1" applyFill="1" applyProtection="1">
      <protection locked="0"/>
    </xf>
    <xf numFmtId="0" fontId="27" fillId="2" borderId="0" xfId="0" applyFont="1" applyFill="1" applyAlignment="1" applyProtection="1">
      <alignment horizontal="right"/>
      <protection locked="0"/>
    </xf>
    <xf numFmtId="0" fontId="27" fillId="2" borderId="0" xfId="0" applyFont="1" applyFill="1" applyProtection="1">
      <protection locked="0"/>
    </xf>
    <xf numFmtId="0" fontId="33" fillId="2" borderId="0" xfId="0" applyFont="1" applyFill="1"/>
    <xf numFmtId="0" fontId="31" fillId="2" borderId="0" xfId="0" applyFont="1" applyFill="1" applyAlignment="1" applyProtection="1">
      <alignment horizontal="left" vertical="top" wrapText="1"/>
      <protection locked="0"/>
    </xf>
    <xf numFmtId="0" fontId="34" fillId="2" borderId="0" xfId="0" applyFont="1" applyFill="1" applyProtection="1">
      <protection locked="0"/>
    </xf>
    <xf numFmtId="0" fontId="20" fillId="2" borderId="8" xfId="0" applyFont="1" applyFill="1" applyBorder="1" applyAlignment="1" applyProtection="1">
      <alignment horizontal="left" vertical="top" wrapText="1"/>
      <protection locked="0"/>
    </xf>
    <xf numFmtId="0" fontId="20" fillId="2" borderId="8" xfId="0" applyFont="1" applyFill="1" applyBorder="1" applyProtection="1">
      <protection locked="0"/>
    </xf>
    <xf numFmtId="0" fontId="31" fillId="2" borderId="8" xfId="0" applyFont="1" applyFill="1" applyBorder="1" applyAlignment="1" applyProtection="1">
      <alignment horizontal="left" vertical="top" wrapText="1"/>
      <protection locked="0"/>
    </xf>
    <xf numFmtId="0" fontId="21" fillId="2" borderId="0" xfId="0" applyFont="1" applyFill="1" applyAlignment="1">
      <alignment horizontal="center" vertical="center"/>
    </xf>
    <xf numFmtId="0" fontId="21" fillId="2" borderId="0" xfId="0" applyFont="1" applyFill="1" applyAlignment="1">
      <alignment horizontal="left" vertical="center"/>
    </xf>
    <xf numFmtId="0" fontId="35" fillId="2" borderId="0" xfId="0" applyFont="1" applyFill="1"/>
    <xf numFmtId="0" fontId="21" fillId="2" borderId="0" xfId="0" applyFont="1" applyFill="1"/>
    <xf numFmtId="0" fontId="31" fillId="2" borderId="0" xfId="0" applyFont="1" applyFill="1" applyAlignment="1">
      <alignment horizontal="left"/>
    </xf>
    <xf numFmtId="0" fontId="31" fillId="2" borderId="0" xfId="0" applyFont="1" applyFill="1" applyAlignment="1">
      <alignment horizontal="center"/>
    </xf>
    <xf numFmtId="0" fontId="27" fillId="2" borderId="0" xfId="0" applyFont="1" applyFill="1" applyAlignment="1" applyProtection="1">
      <alignment horizontal="center"/>
      <protection locked="0"/>
    </xf>
    <xf numFmtId="0" fontId="31" fillId="2" borderId="0" xfId="0" applyFont="1" applyFill="1" applyAlignment="1" applyProtection="1">
      <alignment horizontal="left"/>
      <protection locked="0"/>
    </xf>
    <xf numFmtId="0" fontId="31" fillId="2" borderId="0" xfId="0" applyFont="1" applyFill="1" applyAlignment="1" applyProtection="1">
      <alignment horizontal="center"/>
      <protection locked="0"/>
    </xf>
    <xf numFmtId="0" fontId="31" fillId="2" borderId="0" xfId="0" applyFont="1" applyFill="1" applyAlignment="1" applyProtection="1">
      <alignment horizontal="left" vertical="center"/>
      <protection locked="0"/>
    </xf>
    <xf numFmtId="0" fontId="21" fillId="2" borderId="0" xfId="0" applyFont="1" applyFill="1" applyAlignment="1" applyProtection="1">
      <alignment horizontal="left" vertical="center"/>
      <protection locked="0"/>
    </xf>
    <xf numFmtId="0" fontId="21" fillId="2" borderId="0" xfId="0" applyFont="1" applyFill="1" applyAlignment="1" applyProtection="1">
      <alignment vertical="center" textRotation="90" wrapText="1"/>
      <protection locked="0"/>
    </xf>
    <xf numFmtId="0" fontId="21" fillId="2" borderId="0" xfId="0" applyFont="1" applyFill="1" applyProtection="1">
      <protection locked="0"/>
    </xf>
    <xf numFmtId="0" fontId="31" fillId="2" borderId="0" xfId="0" applyFont="1" applyFill="1" applyAlignment="1" applyProtection="1">
      <alignment vertical="center" textRotation="90" wrapText="1"/>
      <protection locked="0"/>
    </xf>
    <xf numFmtId="0" fontId="19" fillId="2" borderId="0" xfId="0" applyFont="1" applyFill="1" applyAlignment="1">
      <alignment vertical="top" wrapText="1"/>
    </xf>
    <xf numFmtId="164" fontId="23" fillId="2" borderId="0" xfId="0" applyNumberFormat="1" applyFont="1" applyFill="1" applyAlignment="1">
      <alignment vertical="center"/>
    </xf>
    <xf numFmtId="0" fontId="20" fillId="2" borderId="5" xfId="0" applyFont="1" applyFill="1" applyBorder="1"/>
    <xf numFmtId="0" fontId="27" fillId="2" borderId="42" xfId="0" applyFont="1" applyFill="1" applyBorder="1" applyAlignment="1" applyProtection="1">
      <alignment horizontal="right"/>
      <protection locked="0"/>
    </xf>
    <xf numFmtId="0" fontId="36" fillId="2" borderId="0" xfId="0" applyFont="1" applyFill="1"/>
    <xf numFmtId="0" fontId="31" fillId="2" borderId="0" xfId="0" applyFont="1" applyFill="1"/>
    <xf numFmtId="0" fontId="36" fillId="2" borderId="0" xfId="0" applyFont="1" applyFill="1" applyAlignment="1">
      <alignment horizontal="left"/>
    </xf>
    <xf numFmtId="0" fontId="36" fillId="2" borderId="0" xfId="0" applyFont="1" applyFill="1" applyAlignment="1">
      <alignment horizontal="left" vertical="center"/>
    </xf>
    <xf numFmtId="0" fontId="31" fillId="2" borderId="0" xfId="0" applyFont="1" applyFill="1" applyAlignment="1">
      <alignment horizontal="left" vertical="center"/>
    </xf>
    <xf numFmtId="0" fontId="33" fillId="2" borderId="42" xfId="0" applyFont="1" applyFill="1" applyBorder="1" applyProtection="1">
      <protection locked="0"/>
    </xf>
    <xf numFmtId="0" fontId="37" fillId="2" borderId="0" xfId="0" applyFont="1" applyFill="1"/>
    <xf numFmtId="0" fontId="38" fillId="2" borderId="0" xfId="0" applyFont="1" applyFill="1"/>
    <xf numFmtId="0" fontId="13" fillId="2" borderId="42" xfId="0" applyFont="1" applyFill="1" applyBorder="1" applyProtection="1">
      <protection locked="0"/>
    </xf>
    <xf numFmtId="0" fontId="33" fillId="2" borderId="7" xfId="0" applyFont="1" applyFill="1" applyBorder="1" applyProtection="1">
      <protection locked="0"/>
    </xf>
    <xf numFmtId="0" fontId="34" fillId="2" borderId="0" xfId="0" applyFont="1" applyFill="1"/>
    <xf numFmtId="0" fontId="33" fillId="2" borderId="0" xfId="0" applyFont="1" applyFill="1" applyProtection="1">
      <protection locked="0"/>
    </xf>
    <xf numFmtId="0" fontId="20" fillId="2" borderId="0" xfId="0" applyFont="1" applyFill="1" applyAlignment="1">
      <alignment horizontal="center"/>
    </xf>
    <xf numFmtId="0" fontId="35" fillId="2" borderId="0" xfId="0" applyFont="1" applyFill="1" applyAlignment="1">
      <alignment horizontal="center" vertical="center" wrapText="1"/>
    </xf>
    <xf numFmtId="0" fontId="13" fillId="2" borderId="0" xfId="0" applyFont="1" applyFill="1"/>
    <xf numFmtId="0" fontId="28" fillId="2" borderId="0" xfId="0" applyFont="1" applyFill="1" applyAlignment="1">
      <alignment horizontal="center" vertical="center" wrapText="1"/>
    </xf>
    <xf numFmtId="0" fontId="23" fillId="2" borderId="0" xfId="0" applyFont="1" applyFill="1" applyAlignment="1">
      <alignment horizontal="center" vertical="center" wrapText="1"/>
    </xf>
    <xf numFmtId="0" fontId="13" fillId="2" borderId="42" xfId="0" applyFont="1" applyFill="1" applyBorder="1" applyAlignment="1">
      <alignment horizontal="right"/>
    </xf>
    <xf numFmtId="0" fontId="13" fillId="2" borderId="0" xfId="0" applyFont="1" applyFill="1" applyAlignment="1">
      <alignment horizontal="right"/>
    </xf>
    <xf numFmtId="164" fontId="13" fillId="2" borderId="0" xfId="0" applyNumberFormat="1" applyFont="1" applyFill="1" applyAlignment="1">
      <alignment horizontal="right"/>
    </xf>
    <xf numFmtId="0" fontId="13" fillId="2" borderId="43" xfId="0" applyFont="1" applyFill="1" applyBorder="1"/>
    <xf numFmtId="0" fontId="15" fillId="2" borderId="0" xfId="0" applyFont="1" applyFill="1" applyAlignment="1">
      <alignment horizontal="center" vertical="center"/>
    </xf>
    <xf numFmtId="0" fontId="28" fillId="2" borderId="0" xfId="0" applyFont="1" applyFill="1" applyAlignment="1">
      <alignment horizontal="center" vertical="center"/>
    </xf>
    <xf numFmtId="0" fontId="13" fillId="2" borderId="42" xfId="0" applyFont="1" applyFill="1" applyBorder="1"/>
    <xf numFmtId="164" fontId="13" fillId="2" borderId="42" xfId="0" applyNumberFormat="1" applyFont="1" applyFill="1" applyBorder="1" applyAlignment="1">
      <alignment horizontal="right"/>
    </xf>
    <xf numFmtId="0" fontId="33" fillId="2" borderId="0" xfId="0" applyFont="1" applyFill="1" applyProtection="1">
      <protection hidden="1"/>
    </xf>
    <xf numFmtId="0" fontId="43" fillId="2" borderId="0" xfId="0" applyFont="1" applyFill="1" applyAlignment="1">
      <alignment horizontal="left" vertical="center" wrapText="1"/>
    </xf>
    <xf numFmtId="0" fontId="13" fillId="2" borderId="8" xfId="0" applyFont="1" applyFill="1" applyBorder="1"/>
    <xf numFmtId="0" fontId="45" fillId="2" borderId="0" xfId="2" applyFont="1" applyFill="1" applyBorder="1" applyAlignment="1">
      <alignment horizontal="centerContinuous"/>
    </xf>
    <xf numFmtId="164" fontId="13" fillId="2" borderId="0" xfId="0" applyNumberFormat="1" applyFont="1" applyFill="1"/>
    <xf numFmtId="0" fontId="13" fillId="2" borderId="7" xfId="0" applyFont="1" applyFill="1" applyBorder="1"/>
    <xf numFmtId="0" fontId="13" fillId="2" borderId="25" xfId="0" applyFont="1" applyFill="1" applyBorder="1"/>
    <xf numFmtId="0" fontId="13" fillId="2" borderId="0" xfId="0" applyFont="1" applyFill="1" applyAlignment="1">
      <alignment horizontal="center"/>
    </xf>
    <xf numFmtId="0" fontId="19" fillId="2" borderId="0" xfId="0" applyFont="1" applyFill="1"/>
    <xf numFmtId="0" fontId="47" fillId="2" borderId="0" xfId="1" applyFont="1" applyFill="1" applyBorder="1" applyAlignment="1" applyProtection="1">
      <alignment vertical="top" wrapText="1"/>
    </xf>
    <xf numFmtId="0" fontId="44" fillId="2" borderId="0" xfId="2" applyFont="1" applyFill="1" applyBorder="1" applyAlignment="1">
      <alignment horizontal="left" vertical="center" indent="1"/>
    </xf>
    <xf numFmtId="49" fontId="19" fillId="2" borderId="0" xfId="0" applyNumberFormat="1" applyFont="1" applyFill="1" applyAlignment="1" applyProtection="1">
      <alignment horizontal="left" vertical="center" indent="1"/>
      <protection locked="0"/>
    </xf>
    <xf numFmtId="0" fontId="15" fillId="2" borderId="0" xfId="0" applyFont="1" applyFill="1" applyAlignment="1">
      <alignment horizontal="left"/>
    </xf>
    <xf numFmtId="0" fontId="26" fillId="2" borderId="0" xfId="0" applyFont="1" applyFill="1" applyAlignment="1">
      <alignment wrapText="1"/>
    </xf>
    <xf numFmtId="0" fontId="51" fillId="2" borderId="0" xfId="0" applyFont="1" applyFill="1"/>
    <xf numFmtId="0" fontId="52" fillId="2" borderId="0" xfId="0" applyFont="1" applyFill="1"/>
    <xf numFmtId="0" fontId="27" fillId="0" borderId="23" xfId="0" applyFont="1" applyBorder="1" applyAlignment="1">
      <alignment horizontal="left" vertical="top" wrapText="1"/>
    </xf>
    <xf numFmtId="164" fontId="36" fillId="2" borderId="0" xfId="0" applyNumberFormat="1" applyFont="1" applyFill="1" applyAlignment="1">
      <alignment horizontal="center"/>
    </xf>
    <xf numFmtId="0" fontId="33" fillId="2" borderId="0" xfId="0" applyFont="1" applyFill="1" applyAlignment="1">
      <alignment wrapText="1"/>
    </xf>
    <xf numFmtId="0" fontId="13" fillId="2" borderId="0" xfId="0" applyFont="1" applyFill="1" applyAlignment="1">
      <alignment wrapText="1"/>
    </xf>
    <xf numFmtId="164" fontId="27" fillId="0" borderId="2" xfId="0" applyNumberFormat="1" applyFont="1" applyBorder="1" applyAlignment="1">
      <alignment horizontal="left" vertical="top" wrapText="1"/>
    </xf>
    <xf numFmtId="164" fontId="27" fillId="0" borderId="2" xfId="0" applyNumberFormat="1" applyFont="1" applyBorder="1" applyAlignment="1">
      <alignment vertical="top" wrapText="1"/>
    </xf>
    <xf numFmtId="0" fontId="27" fillId="0" borderId="2" xfId="0" applyFont="1" applyBorder="1" applyAlignment="1">
      <alignment horizontal="left" vertical="top" wrapText="1"/>
    </xf>
    <xf numFmtId="0" fontId="13" fillId="2" borderId="1" xfId="3" applyFont="1" applyFill="1" applyAlignment="1">
      <alignment horizontal="center" vertical="center" wrapText="1"/>
    </xf>
    <xf numFmtId="0" fontId="27" fillId="0" borderId="24" xfId="0" applyFont="1" applyBorder="1" applyAlignment="1">
      <alignment horizontal="left" vertical="top" wrapText="1"/>
    </xf>
    <xf numFmtId="164" fontId="27" fillId="0" borderId="24" xfId="0" applyNumberFormat="1" applyFont="1" applyBorder="1" applyAlignment="1">
      <alignment horizontal="left" vertical="top" wrapText="1"/>
    </xf>
    <xf numFmtId="164" fontId="27" fillId="0" borderId="24" xfId="0" applyNumberFormat="1" applyFont="1" applyBorder="1" applyAlignment="1">
      <alignment vertical="top" wrapText="1"/>
    </xf>
    <xf numFmtId="49" fontId="50" fillId="2" borderId="0" xfId="0" applyNumberFormat="1" applyFont="1" applyFill="1"/>
    <xf numFmtId="0" fontId="50" fillId="2" borderId="0" xfId="0" applyFont="1" applyFill="1"/>
    <xf numFmtId="0" fontId="19" fillId="2" borderId="0" xfId="0" applyFont="1" applyFill="1" applyAlignment="1">
      <alignment horizontal="left" vertical="center"/>
    </xf>
    <xf numFmtId="0" fontId="19" fillId="2" borderId="0" xfId="0" applyFont="1" applyFill="1" applyAlignment="1">
      <alignment horizontal="center" vertical="center"/>
    </xf>
    <xf numFmtId="0" fontId="19" fillId="0" borderId="3" xfId="0" applyFont="1" applyBorder="1" applyAlignment="1">
      <alignment horizontal="left" vertical="top" wrapText="1"/>
    </xf>
    <xf numFmtId="164" fontId="19" fillId="0" borderId="41" xfId="0" applyNumberFormat="1" applyFont="1" applyBorder="1" applyAlignment="1">
      <alignment vertical="top" wrapText="1"/>
    </xf>
    <xf numFmtId="164" fontId="19" fillId="0" borderId="3" xfId="0" applyNumberFormat="1" applyFont="1" applyBorder="1" applyAlignment="1">
      <alignment horizontal="left" vertical="top" wrapText="1"/>
    </xf>
    <xf numFmtId="164" fontId="19" fillId="2" borderId="0" xfId="0" applyNumberFormat="1" applyFont="1" applyFill="1" applyAlignment="1">
      <alignment horizontal="center" vertical="center"/>
    </xf>
    <xf numFmtId="164" fontId="19" fillId="0" borderId="2" xfId="0" applyNumberFormat="1" applyFont="1" applyBorder="1" applyAlignment="1">
      <alignment horizontal="left" vertical="top" wrapText="1"/>
    </xf>
    <xf numFmtId="0" fontId="19" fillId="0" borderId="2" xfId="0" applyFont="1" applyBorder="1" applyAlignment="1">
      <alignment horizontal="left" vertical="top" wrapText="1"/>
    </xf>
    <xf numFmtId="0" fontId="13" fillId="2" borderId="18" xfId="3" applyFont="1" applyFill="1" applyBorder="1" applyAlignment="1">
      <alignment horizontal="center" vertical="center" wrapText="1"/>
    </xf>
    <xf numFmtId="0" fontId="27" fillId="0" borderId="40" xfId="0" applyFont="1" applyBorder="1" applyAlignment="1">
      <alignment horizontal="left" vertical="top" wrapText="1"/>
    </xf>
    <xf numFmtId="164" fontId="27" fillId="0" borderId="40" xfId="0" applyNumberFormat="1" applyFont="1" applyBorder="1" applyAlignment="1">
      <alignment horizontal="left" vertical="top" wrapText="1"/>
    </xf>
    <xf numFmtId="164" fontId="27" fillId="0" borderId="40" xfId="0" applyNumberFormat="1" applyFont="1" applyBorder="1" applyAlignment="1">
      <alignment vertical="top" wrapText="1"/>
    </xf>
    <xf numFmtId="0" fontId="27" fillId="0" borderId="3" xfId="0" applyFont="1" applyBorder="1" applyAlignment="1">
      <alignment horizontal="left" vertical="top" wrapText="1"/>
    </xf>
    <xf numFmtId="164" fontId="27" fillId="0" borderId="3" xfId="0" applyNumberFormat="1" applyFont="1" applyBorder="1" applyAlignment="1">
      <alignment horizontal="left" vertical="top" wrapText="1"/>
    </xf>
    <xf numFmtId="0" fontId="57" fillId="2" borderId="0" xfId="0" applyFont="1" applyFill="1"/>
    <xf numFmtId="164" fontId="58" fillId="2" borderId="0" xfId="0" applyNumberFormat="1" applyFont="1" applyFill="1" applyAlignment="1">
      <alignment horizontal="center"/>
    </xf>
    <xf numFmtId="0" fontId="59" fillId="2" borderId="0" xfId="0" applyFont="1" applyFill="1" applyAlignment="1">
      <alignment horizontal="center" vertical="center"/>
    </xf>
    <xf numFmtId="0" fontId="60" fillId="2" borderId="0" xfId="0" applyFont="1" applyFill="1"/>
    <xf numFmtId="0" fontId="27" fillId="0" borderId="2" xfId="0" applyFont="1" applyBorder="1" applyAlignment="1">
      <alignment vertical="top" wrapText="1"/>
    </xf>
    <xf numFmtId="164" fontId="27" fillId="0" borderId="2" xfId="0" applyNumberFormat="1" applyFont="1" applyBorder="1" applyAlignment="1">
      <alignment horizontal="left" vertical="top"/>
    </xf>
    <xf numFmtId="0" fontId="13" fillId="2" borderId="0" xfId="0" applyFont="1" applyFill="1" applyAlignment="1">
      <alignment horizontal="center" wrapText="1"/>
    </xf>
    <xf numFmtId="0" fontId="20" fillId="2" borderId="0" xfId="0" applyFont="1" applyFill="1" applyAlignment="1">
      <alignment horizontal="left" vertical="top"/>
    </xf>
    <xf numFmtId="0" fontId="20" fillId="2" borderId="0" xfId="0" applyFont="1" applyFill="1" applyAlignment="1">
      <alignment vertical="top"/>
    </xf>
    <xf numFmtId="0" fontId="61" fillId="2" borderId="0" xfId="0" applyFont="1" applyFill="1"/>
    <xf numFmtId="0" fontId="27" fillId="2" borderId="0" xfId="1" applyFont="1" applyFill="1" applyAlignment="1" applyProtection="1"/>
    <xf numFmtId="0" fontId="13" fillId="2" borderId="0" xfId="0" applyFont="1" applyFill="1" applyAlignment="1">
      <alignment vertical="top"/>
    </xf>
    <xf numFmtId="0" fontId="13" fillId="2" borderId="0" xfId="0" applyFont="1" applyFill="1" applyAlignment="1">
      <alignment horizontal="left" vertical="top"/>
    </xf>
    <xf numFmtId="0" fontId="63" fillId="2" borderId="0" xfId="0" applyFont="1" applyFill="1"/>
    <xf numFmtId="0" fontId="31" fillId="0" borderId="27" xfId="0" applyFont="1" applyBorder="1" applyAlignment="1">
      <alignment vertical="top" wrapText="1"/>
    </xf>
    <xf numFmtId="164" fontId="38" fillId="2" borderId="0" xfId="0" applyNumberFormat="1" applyFont="1" applyFill="1" applyAlignment="1">
      <alignment horizontal="center" vertical="center"/>
    </xf>
    <xf numFmtId="164" fontId="21" fillId="2" borderId="0" xfId="0" applyNumberFormat="1" applyFont="1" applyFill="1"/>
    <xf numFmtId="0" fontId="34" fillId="2" borderId="0" xfId="0" applyFont="1" applyFill="1" applyAlignment="1">
      <alignment horizontal="left" vertical="center"/>
    </xf>
    <xf numFmtId="0" fontId="64" fillId="2" borderId="0" xfId="0" applyFont="1" applyFill="1" applyAlignment="1">
      <alignment vertical="center" wrapText="1"/>
    </xf>
    <xf numFmtId="0" fontId="24" fillId="2" borderId="0" xfId="0" applyFont="1" applyFill="1" applyAlignment="1">
      <alignment wrapText="1"/>
    </xf>
    <xf numFmtId="0" fontId="31" fillId="0" borderId="28" xfId="0" applyFont="1" applyBorder="1" applyAlignment="1">
      <alignment vertical="top" wrapText="1"/>
    </xf>
    <xf numFmtId="164" fontId="36" fillId="2" borderId="0" xfId="0" applyNumberFormat="1" applyFont="1" applyFill="1" applyAlignment="1">
      <alignment horizontal="center" vertical="center"/>
    </xf>
    <xf numFmtId="9" fontId="64" fillId="2" borderId="0" xfId="0" applyNumberFormat="1" applyFont="1" applyFill="1" applyAlignment="1">
      <alignment horizontal="center" vertical="center"/>
    </xf>
    <xf numFmtId="0" fontId="31" fillId="0" borderId="51" xfId="0" applyFont="1" applyBorder="1" applyAlignment="1">
      <alignment vertical="top" wrapText="1"/>
    </xf>
    <xf numFmtId="0" fontId="31" fillId="0" borderId="29" xfId="0" applyFont="1" applyBorder="1" applyAlignment="1">
      <alignment vertical="top" wrapText="1"/>
    </xf>
    <xf numFmtId="0" fontId="31" fillId="0" borderId="50" xfId="0" applyFont="1" applyBorder="1" applyAlignment="1">
      <alignment vertical="top" wrapText="1"/>
    </xf>
    <xf numFmtId="0" fontId="66" fillId="2" borderId="0" xfId="0" applyFont="1" applyFill="1" applyAlignment="1">
      <alignment horizontal="center" vertical="center"/>
    </xf>
    <xf numFmtId="0" fontId="67" fillId="2" borderId="0" xfId="0" applyFont="1" applyFill="1"/>
    <xf numFmtId="0" fontId="31" fillId="0" borderId="26" xfId="0" applyFont="1" applyBorder="1" applyAlignment="1">
      <alignment vertical="top"/>
    </xf>
    <xf numFmtId="164" fontId="58" fillId="2" borderId="0" xfId="0" applyNumberFormat="1" applyFont="1" applyFill="1" applyAlignment="1">
      <alignment horizontal="center" vertical="center"/>
    </xf>
    <xf numFmtId="0" fontId="31" fillId="0" borderId="26" xfId="0" applyFont="1" applyBorder="1" applyAlignment="1">
      <alignment vertical="top" wrapText="1"/>
    </xf>
    <xf numFmtId="9" fontId="68" fillId="2" borderId="0" xfId="0" applyNumberFormat="1" applyFont="1" applyFill="1" applyAlignment="1">
      <alignment horizontal="center" vertical="center"/>
    </xf>
    <xf numFmtId="0" fontId="19" fillId="2" borderId="0" xfId="0" applyFont="1" applyFill="1" applyAlignment="1">
      <alignment horizontal="center" vertical="top"/>
    </xf>
    <xf numFmtId="0" fontId="24" fillId="2" borderId="0" xfId="0" applyFont="1" applyFill="1" applyAlignment="1">
      <alignment vertical="top"/>
    </xf>
    <xf numFmtId="0" fontId="33" fillId="2" borderId="0" xfId="0" applyFont="1" applyFill="1" applyAlignment="1">
      <alignment vertical="top"/>
    </xf>
    <xf numFmtId="0" fontId="13" fillId="2" borderId="0" xfId="0" applyFont="1" applyFill="1" applyAlignment="1">
      <alignment horizontal="center" vertical="center"/>
    </xf>
    <xf numFmtId="0" fontId="65" fillId="6" borderId="0" xfId="0" applyFont="1" applyFill="1" applyAlignment="1">
      <alignment vertical="top" wrapText="1"/>
    </xf>
    <xf numFmtId="0" fontId="20" fillId="2" borderId="13" xfId="0" applyFont="1" applyFill="1" applyBorder="1"/>
    <xf numFmtId="0" fontId="62" fillId="2" borderId="0" xfId="0" applyFont="1" applyFill="1" applyAlignment="1">
      <alignment horizontal="left" vertical="top" wrapText="1"/>
    </xf>
    <xf numFmtId="0" fontId="20" fillId="2" borderId="8" xfId="0" applyFont="1" applyFill="1" applyBorder="1"/>
    <xf numFmtId="0" fontId="20" fillId="2" borderId="0" xfId="0" applyFont="1" applyFill="1" applyAlignment="1">
      <alignment vertical="top" wrapText="1"/>
    </xf>
    <xf numFmtId="0" fontId="20" fillId="2" borderId="0" xfId="0" applyFont="1" applyFill="1" applyAlignment="1">
      <alignment horizontal="left" vertical="top" wrapText="1"/>
    </xf>
    <xf numFmtId="0" fontId="21" fillId="2" borderId="0" xfId="0" applyFont="1" applyFill="1" applyAlignment="1">
      <alignment horizontal="left" vertical="top" wrapText="1"/>
    </xf>
    <xf numFmtId="0" fontId="13" fillId="0" borderId="0" xfId="3" applyFont="1" applyFill="1" applyBorder="1">
      <alignment horizontal="center" vertical="top" wrapText="1"/>
    </xf>
    <xf numFmtId="0" fontId="24" fillId="2" borderId="8" xfId="0" applyFont="1" applyFill="1" applyBorder="1" applyAlignment="1">
      <alignment vertical="center"/>
    </xf>
    <xf numFmtId="0" fontId="31" fillId="0" borderId="26" xfId="0" applyFont="1" applyBorder="1" applyAlignment="1">
      <alignment horizontal="left" vertical="top" wrapText="1"/>
    </xf>
    <xf numFmtId="0" fontId="31" fillId="0" borderId="6" xfId="0" applyFont="1" applyBorder="1" applyAlignment="1">
      <alignment vertical="top" wrapText="1"/>
    </xf>
    <xf numFmtId="0" fontId="13" fillId="2" borderId="4" xfId="0" applyFont="1" applyFill="1" applyBorder="1" applyAlignment="1">
      <alignment wrapText="1"/>
    </xf>
    <xf numFmtId="0" fontId="13" fillId="2" borderId="5" xfId="0" applyFont="1" applyFill="1" applyBorder="1" applyAlignment="1">
      <alignment wrapText="1"/>
    </xf>
    <xf numFmtId="0" fontId="13" fillId="2" borderId="6" xfId="0" applyFont="1" applyFill="1" applyBorder="1" applyAlignment="1">
      <alignment wrapText="1"/>
    </xf>
    <xf numFmtId="0" fontId="27" fillId="0" borderId="46" xfId="0" applyFont="1" applyBorder="1" applyAlignment="1">
      <alignment horizontal="left" vertical="top" wrapText="1"/>
    </xf>
    <xf numFmtId="164" fontId="27" fillId="0" borderId="46" xfId="0" applyNumberFormat="1" applyFont="1" applyBorder="1" applyAlignment="1">
      <alignment horizontal="left" vertical="top" wrapText="1"/>
    </xf>
    <xf numFmtId="164" fontId="27" fillId="0" borderId="46" xfId="0" applyNumberFormat="1" applyFont="1" applyBorder="1" applyAlignment="1">
      <alignment vertical="top" wrapText="1"/>
    </xf>
    <xf numFmtId="0" fontId="13" fillId="2" borderId="15" xfId="3" applyFont="1" applyFill="1" applyBorder="1" applyAlignment="1">
      <alignment horizontal="center" vertical="center" wrapText="1"/>
    </xf>
    <xf numFmtId="164" fontId="19" fillId="0" borderId="3" xfId="0" applyNumberFormat="1" applyFont="1" applyBorder="1" applyAlignment="1">
      <alignment vertical="top" wrapText="1"/>
    </xf>
    <xf numFmtId="0" fontId="31" fillId="0" borderId="52" xfId="0" applyFont="1" applyBorder="1" applyAlignment="1">
      <alignment vertical="top" wrapText="1"/>
    </xf>
    <xf numFmtId="0" fontId="13" fillId="0" borderId="0" xfId="0" applyFont="1" applyAlignment="1">
      <alignment horizontal="left"/>
    </xf>
    <xf numFmtId="164" fontId="13" fillId="0" borderId="0" xfId="0" applyNumberFormat="1" applyFont="1" applyAlignment="1">
      <alignment horizontal="left"/>
    </xf>
    <xf numFmtId="2" fontId="13" fillId="0" borderId="0" xfId="0" applyNumberFormat="1" applyFont="1" applyAlignment="1">
      <alignment horizontal="left"/>
    </xf>
    <xf numFmtId="0" fontId="27" fillId="0" borderId="54" xfId="0" applyFont="1" applyBorder="1" applyAlignment="1">
      <alignment horizontal="left" vertical="top" wrapText="1"/>
    </xf>
    <xf numFmtId="164" fontId="27" fillId="0" borderId="54" xfId="0" applyNumberFormat="1" applyFont="1" applyBorder="1" applyAlignment="1">
      <alignment horizontal="left" vertical="top" wrapText="1"/>
    </xf>
    <xf numFmtId="164" fontId="27" fillId="0" borderId="54" xfId="0" applyNumberFormat="1" applyFont="1" applyBorder="1" applyAlignment="1">
      <alignment vertical="top" wrapText="1"/>
    </xf>
    <xf numFmtId="164" fontId="27" fillId="0" borderId="48" xfId="0" applyNumberFormat="1" applyFont="1" applyBorder="1" applyAlignment="1">
      <alignment vertical="top" wrapText="1"/>
    </xf>
    <xf numFmtId="164" fontId="27" fillId="0" borderId="3" xfId="0" applyNumberFormat="1" applyFont="1" applyBorder="1" applyAlignment="1">
      <alignment vertical="top" wrapText="1"/>
    </xf>
    <xf numFmtId="0" fontId="31" fillId="0" borderId="56" xfId="0" applyFont="1" applyBorder="1" applyAlignment="1">
      <alignment vertical="top" wrapText="1"/>
    </xf>
    <xf numFmtId="0" fontId="31" fillId="0" borderId="47" xfId="0" applyFont="1" applyBorder="1" applyAlignment="1">
      <alignment vertical="top" wrapText="1"/>
    </xf>
    <xf numFmtId="0" fontId="27" fillId="0" borderId="48" xfId="0" applyFont="1" applyBorder="1" applyAlignment="1">
      <alignment horizontal="left" vertical="top" wrapText="1"/>
    </xf>
    <xf numFmtId="164" fontId="27" fillId="0" borderId="48" xfId="0" applyNumberFormat="1" applyFont="1" applyBorder="1" applyAlignment="1">
      <alignment horizontal="left" vertical="top" wrapText="1"/>
    </xf>
    <xf numFmtId="164" fontId="15" fillId="2" borderId="4" xfId="0" applyNumberFormat="1" applyFont="1" applyFill="1" applyBorder="1" applyAlignment="1">
      <alignment horizontal="right"/>
    </xf>
    <xf numFmtId="164" fontId="15" fillId="2" borderId="5" xfId="0" applyNumberFormat="1" applyFont="1" applyFill="1" applyBorder="1" applyAlignment="1">
      <alignment horizontal="right"/>
    </xf>
    <xf numFmtId="0" fontId="13" fillId="2" borderId="5" xfId="0" applyFont="1" applyFill="1" applyBorder="1"/>
    <xf numFmtId="0" fontId="15" fillId="2" borderId="5" xfId="0" applyFont="1" applyFill="1" applyBorder="1" applyAlignment="1">
      <alignment horizontal="right"/>
    </xf>
    <xf numFmtId="0" fontId="13" fillId="2" borderId="6" xfId="0" applyFont="1" applyFill="1" applyBorder="1"/>
    <xf numFmtId="0" fontId="15" fillId="2" borderId="0" xfId="0" applyFont="1" applyFill="1" applyAlignment="1">
      <alignment horizontal="right"/>
    </xf>
    <xf numFmtId="164" fontId="31" fillId="8" borderId="23" xfId="0" applyNumberFormat="1" applyFont="1" applyFill="1" applyBorder="1" applyAlignment="1">
      <alignment horizontal="center" vertical="center"/>
    </xf>
    <xf numFmtId="164" fontId="31" fillId="8" borderId="2" xfId="0" applyNumberFormat="1" applyFont="1" applyFill="1" applyBorder="1" applyAlignment="1">
      <alignment horizontal="center" vertical="center"/>
    </xf>
    <xf numFmtId="164" fontId="31" fillId="8" borderId="3" xfId="0" applyNumberFormat="1" applyFont="1" applyFill="1" applyBorder="1" applyAlignment="1">
      <alignment horizontal="center" vertical="center"/>
    </xf>
    <xf numFmtId="164" fontId="18" fillId="8" borderId="24" xfId="0" applyNumberFormat="1" applyFont="1" applyFill="1" applyBorder="1" applyAlignment="1">
      <alignment horizontal="center" vertical="center"/>
    </xf>
    <xf numFmtId="164" fontId="18" fillId="8" borderId="2" xfId="0" applyNumberFormat="1" applyFont="1" applyFill="1" applyBorder="1" applyAlignment="1">
      <alignment horizontal="center" vertical="center"/>
    </xf>
    <xf numFmtId="164" fontId="31" fillId="8" borderId="48" xfId="0" applyNumberFormat="1" applyFont="1" applyFill="1" applyBorder="1" applyAlignment="1">
      <alignment horizontal="center" vertical="center"/>
    </xf>
    <xf numFmtId="164" fontId="31" fillId="8" borderId="40" xfId="0" applyNumberFormat="1" applyFont="1" applyFill="1" applyBorder="1" applyAlignment="1">
      <alignment horizontal="center" vertical="center"/>
    </xf>
    <xf numFmtId="164" fontId="31" fillId="8" borderId="46" xfId="0" applyNumberFormat="1" applyFont="1" applyFill="1" applyBorder="1" applyAlignment="1">
      <alignment horizontal="center" vertical="center"/>
    </xf>
    <xf numFmtId="164" fontId="31" fillId="8" borderId="24" xfId="0" applyNumberFormat="1" applyFont="1" applyFill="1" applyBorder="1" applyAlignment="1">
      <alignment horizontal="center" vertical="center"/>
    </xf>
    <xf numFmtId="164" fontId="31" fillId="8" borderId="2" xfId="0" applyNumberFormat="1" applyFont="1" applyFill="1" applyBorder="1" applyAlignment="1">
      <alignment horizontal="center" vertical="center" wrapText="1"/>
    </xf>
    <xf numFmtId="164" fontId="31" fillId="8" borderId="46" xfId="0" applyNumberFormat="1" applyFont="1" applyFill="1" applyBorder="1" applyAlignment="1">
      <alignment horizontal="center" vertical="center" wrapText="1"/>
    </xf>
    <xf numFmtId="164" fontId="31" fillId="8" borderId="23" xfId="0" applyNumberFormat="1" applyFont="1" applyFill="1" applyBorder="1" applyAlignment="1">
      <alignment horizontal="center" vertical="center" wrapText="1"/>
    </xf>
    <xf numFmtId="164" fontId="31" fillId="8" borderId="3" xfId="0" applyNumberFormat="1" applyFont="1" applyFill="1" applyBorder="1" applyAlignment="1">
      <alignment horizontal="center" vertical="center" wrapText="1"/>
    </xf>
    <xf numFmtId="164" fontId="31" fillId="8" borderId="24" xfId="0" applyNumberFormat="1" applyFont="1" applyFill="1" applyBorder="1" applyAlignment="1">
      <alignment horizontal="center" vertical="center" wrapText="1"/>
    </xf>
    <xf numFmtId="164" fontId="31" fillId="8" borderId="34" xfId="0" applyNumberFormat="1" applyFont="1" applyFill="1" applyBorder="1" applyAlignment="1">
      <alignment horizontal="center" vertical="center" wrapText="1"/>
    </xf>
    <xf numFmtId="164" fontId="31" fillId="8" borderId="31" xfId="0" applyNumberFormat="1" applyFont="1" applyFill="1" applyBorder="1" applyAlignment="1">
      <alignment horizontal="center" vertical="center" wrapText="1"/>
    </xf>
    <xf numFmtId="164" fontId="31" fillId="8" borderId="4" xfId="0" applyNumberFormat="1" applyFont="1" applyFill="1" applyBorder="1" applyAlignment="1">
      <alignment horizontal="center" vertical="center" wrapText="1"/>
    </xf>
    <xf numFmtId="164" fontId="31" fillId="8" borderId="32" xfId="0" applyNumberFormat="1" applyFont="1" applyFill="1" applyBorder="1" applyAlignment="1">
      <alignment horizontal="center" vertical="center" wrapText="1"/>
    </xf>
    <xf numFmtId="164" fontId="31" fillId="8" borderId="7" xfId="0" applyNumberFormat="1" applyFont="1" applyFill="1" applyBorder="1" applyAlignment="1">
      <alignment horizontal="center" vertical="center" wrapText="1"/>
    </xf>
    <xf numFmtId="164" fontId="31" fillId="8" borderId="53" xfId="0" applyNumberFormat="1" applyFont="1" applyFill="1" applyBorder="1" applyAlignment="1">
      <alignment horizontal="center" vertical="center" wrapText="1"/>
    </xf>
    <xf numFmtId="164" fontId="31" fillId="7" borderId="12" xfId="0" applyNumberFormat="1" applyFont="1" applyFill="1" applyBorder="1" applyAlignment="1">
      <alignment horizontal="center" vertical="center"/>
    </xf>
    <xf numFmtId="164" fontId="31" fillId="7" borderId="44" xfId="0" applyNumberFormat="1" applyFont="1" applyFill="1" applyBorder="1" applyAlignment="1">
      <alignment horizontal="center" vertical="center"/>
    </xf>
    <xf numFmtId="164" fontId="31" fillId="7" borderId="35" xfId="0" applyNumberFormat="1" applyFont="1" applyFill="1" applyBorder="1" applyAlignment="1">
      <alignment horizontal="center" vertical="center"/>
    </xf>
    <xf numFmtId="164" fontId="31" fillId="7" borderId="45" xfId="0" applyNumberFormat="1" applyFont="1" applyFill="1" applyBorder="1" applyAlignment="1">
      <alignment horizontal="center" vertical="center"/>
    </xf>
    <xf numFmtId="164" fontId="31" fillId="7" borderId="20" xfId="0" applyNumberFormat="1" applyFont="1" applyFill="1" applyBorder="1" applyAlignment="1">
      <alignment horizontal="center" vertical="center"/>
    </xf>
    <xf numFmtId="164" fontId="31" fillId="7" borderId="57" xfId="0" applyNumberFormat="1" applyFont="1" applyFill="1" applyBorder="1" applyAlignment="1">
      <alignment horizontal="center" vertical="center"/>
    </xf>
    <xf numFmtId="164" fontId="31" fillId="7" borderId="58" xfId="0" applyNumberFormat="1" applyFont="1" applyFill="1" applyBorder="1" applyAlignment="1">
      <alignment horizontal="center" vertical="center"/>
    </xf>
    <xf numFmtId="164" fontId="18" fillId="7" borderId="45" xfId="0" applyNumberFormat="1" applyFont="1" applyFill="1" applyBorder="1" applyAlignment="1">
      <alignment horizontal="center" vertical="center"/>
    </xf>
    <xf numFmtId="164" fontId="18" fillId="7" borderId="35" xfId="0" applyNumberFormat="1" applyFont="1" applyFill="1" applyBorder="1" applyAlignment="1">
      <alignment horizontal="center" vertical="center"/>
    </xf>
    <xf numFmtId="164" fontId="18" fillId="8" borderId="4" xfId="0" applyNumberFormat="1" applyFont="1" applyFill="1" applyBorder="1" applyAlignment="1">
      <alignment horizontal="center" vertical="center" wrapText="1"/>
    </xf>
    <xf numFmtId="164" fontId="31" fillId="8" borderId="55" xfId="0" applyNumberFormat="1" applyFont="1" applyFill="1" applyBorder="1" applyAlignment="1">
      <alignment horizontal="center" vertical="center" wrapText="1"/>
    </xf>
    <xf numFmtId="164" fontId="31" fillId="8" borderId="49" xfId="0" applyNumberFormat="1" applyFont="1" applyFill="1" applyBorder="1" applyAlignment="1">
      <alignment horizontal="center" vertical="center" wrapText="1"/>
    </xf>
    <xf numFmtId="164" fontId="31" fillId="8" borderId="31" xfId="0" applyNumberFormat="1" applyFont="1" applyFill="1" applyBorder="1" applyAlignment="1">
      <alignment horizontal="center" vertical="center"/>
    </xf>
    <xf numFmtId="164" fontId="31" fillId="8" borderId="54" xfId="0" applyNumberFormat="1" applyFont="1" applyFill="1" applyBorder="1" applyAlignment="1">
      <alignment horizontal="center" vertical="center" wrapText="1"/>
    </xf>
    <xf numFmtId="164" fontId="31" fillId="8" borderId="48" xfId="0" applyNumberFormat="1" applyFont="1" applyFill="1" applyBorder="1" applyAlignment="1">
      <alignment horizontal="center" vertical="center" wrapText="1"/>
    </xf>
    <xf numFmtId="164" fontId="31" fillId="8" borderId="40" xfId="0" applyNumberFormat="1" applyFont="1" applyFill="1" applyBorder="1" applyAlignment="1">
      <alignment horizontal="center" vertical="center" wrapText="1"/>
    </xf>
    <xf numFmtId="164" fontId="18" fillId="8" borderId="3" xfId="0" applyNumberFormat="1" applyFont="1" applyFill="1" applyBorder="1" applyAlignment="1">
      <alignment horizontal="center" vertical="center" wrapText="1"/>
    </xf>
    <xf numFmtId="164" fontId="18" fillId="8" borderId="3" xfId="0" applyNumberFormat="1" applyFont="1" applyFill="1" applyBorder="1" applyAlignment="1">
      <alignment horizontal="center" vertical="center"/>
    </xf>
    <xf numFmtId="164" fontId="31" fillId="8" borderId="54" xfId="0" applyNumberFormat="1" applyFont="1" applyFill="1" applyBorder="1" applyAlignment="1">
      <alignment horizontal="center" vertical="center"/>
    </xf>
    <xf numFmtId="0" fontId="21" fillId="8" borderId="15" xfId="0" applyFont="1" applyFill="1" applyBorder="1" applyAlignment="1">
      <alignment horizontal="center" vertical="center" wrapText="1"/>
    </xf>
    <xf numFmtId="0" fontId="71" fillId="2" borderId="0" xfId="0" applyFont="1" applyFill="1" applyAlignment="1">
      <alignment vertical="center"/>
    </xf>
    <xf numFmtId="0" fontId="28" fillId="9" borderId="9" xfId="0" applyFont="1" applyFill="1" applyBorder="1" applyAlignment="1">
      <alignment horizontal="center" vertical="center" wrapText="1"/>
    </xf>
    <xf numFmtId="49" fontId="27" fillId="2" borderId="0" xfId="0" applyNumberFormat="1" applyFont="1" applyFill="1" applyAlignment="1" applyProtection="1">
      <alignment horizontal="left" vertical="center" indent="1"/>
      <protection locked="0"/>
    </xf>
    <xf numFmtId="164" fontId="13" fillId="2" borderId="42" xfId="0" applyNumberFormat="1" applyFont="1" applyFill="1" applyBorder="1"/>
    <xf numFmtId="2" fontId="2" fillId="2" borderId="0" xfId="0" applyNumberFormat="1" applyFont="1" applyFill="1"/>
    <xf numFmtId="2" fontId="0" fillId="2" borderId="0" xfId="0" applyNumberFormat="1" applyFill="1"/>
    <xf numFmtId="0" fontId="73" fillId="2" borderId="9" xfId="0" applyFont="1" applyFill="1" applyBorder="1" applyAlignment="1">
      <alignment horizontal="center" vertical="center" wrapText="1"/>
    </xf>
    <xf numFmtId="0" fontId="0" fillId="0" borderId="0" xfId="0" applyAlignment="1">
      <alignment vertical="center"/>
    </xf>
    <xf numFmtId="0" fontId="0" fillId="0" borderId="0" xfId="0" applyProtection="1">
      <protection locked="0"/>
    </xf>
    <xf numFmtId="0" fontId="27" fillId="0" borderId="0" xfId="0" applyFont="1" applyAlignment="1" applyProtection="1">
      <alignment horizontal="center" vertical="center" wrapText="1"/>
      <protection locked="0"/>
    </xf>
    <xf numFmtId="0" fontId="27" fillId="0" borderId="0" xfId="0" applyFont="1" applyAlignment="1">
      <alignment vertical="center" wrapText="1"/>
    </xf>
    <xf numFmtId="9" fontId="13" fillId="0" borderId="0" xfId="0" applyNumberFormat="1" applyFont="1" applyAlignment="1">
      <alignment horizontal="left"/>
    </xf>
    <xf numFmtId="0" fontId="74" fillId="0" borderId="0" xfId="0" applyFont="1" applyAlignment="1">
      <alignment horizontal="center" vertical="center"/>
    </xf>
    <xf numFmtId="0" fontId="27" fillId="0" borderId="0" xfId="0" applyFont="1" applyAlignment="1">
      <alignment horizontal="center" vertical="center" wrapText="1"/>
    </xf>
    <xf numFmtId="0" fontId="13" fillId="2" borderId="0" xfId="0" applyFont="1" applyFill="1" applyAlignment="1">
      <alignment vertical="top" wrapText="1"/>
    </xf>
    <xf numFmtId="0" fontId="14" fillId="0" borderId="0" xfId="0" applyFont="1" applyAlignment="1">
      <alignment vertical="center"/>
    </xf>
    <xf numFmtId="0" fontId="15" fillId="2" borderId="0" xfId="0" applyFont="1" applyFill="1"/>
    <xf numFmtId="0" fontId="14" fillId="0" borderId="0" xfId="0" applyFont="1" applyAlignment="1">
      <alignment horizontal="center" vertical="center"/>
    </xf>
    <xf numFmtId="0" fontId="13" fillId="2" borderId="0" xfId="0" applyFont="1" applyFill="1" applyAlignment="1">
      <alignment horizontal="left" vertical="center" wrapText="1"/>
    </xf>
    <xf numFmtId="0" fontId="13" fillId="2" borderId="0" xfId="0" applyFont="1" applyFill="1" applyAlignment="1">
      <alignment vertical="center" wrapText="1"/>
    </xf>
    <xf numFmtId="0" fontId="19" fillId="2" borderId="0" xfId="0" applyFont="1" applyFill="1" applyAlignment="1">
      <alignment horizontal="left" vertical="top" wrapText="1"/>
    </xf>
    <xf numFmtId="0" fontId="19" fillId="2" borderId="39" xfId="0" applyFont="1" applyFill="1" applyBorder="1" applyAlignment="1">
      <alignment vertical="top" wrapText="1"/>
    </xf>
    <xf numFmtId="49" fontId="18" fillId="2" borderId="38" xfId="0" applyNumberFormat="1" applyFont="1" applyFill="1" applyBorder="1" applyAlignment="1">
      <alignment horizontal="center" vertical="top" wrapText="1"/>
    </xf>
    <xf numFmtId="0" fontId="19" fillId="2" borderId="14" xfId="0" applyFont="1" applyFill="1" applyBorder="1" applyAlignment="1">
      <alignment horizontal="center" wrapText="1"/>
    </xf>
    <xf numFmtId="0" fontId="31" fillId="2" borderId="0" xfId="0" applyFont="1" applyFill="1" applyAlignment="1">
      <alignment vertical="center"/>
    </xf>
    <xf numFmtId="49" fontId="27" fillId="2" borderId="0" xfId="0" applyNumberFormat="1" applyFont="1" applyFill="1" applyAlignment="1" applyProtection="1">
      <alignment vertical="center"/>
      <protection locked="0"/>
    </xf>
    <xf numFmtId="0" fontId="32" fillId="2" borderId="0" xfId="0" applyFont="1" applyFill="1" applyAlignment="1">
      <alignment vertical="center"/>
    </xf>
    <xf numFmtId="0" fontId="47" fillId="2" borderId="0" xfId="1" applyFont="1" applyFill="1" applyBorder="1" applyAlignment="1" applyProtection="1">
      <alignment vertical="top"/>
    </xf>
    <xf numFmtId="0" fontId="23" fillId="2" borderId="0" xfId="0" applyFont="1" applyFill="1" applyAlignment="1">
      <alignment vertical="center" wrapText="1"/>
    </xf>
    <xf numFmtId="0" fontId="27" fillId="0" borderId="0" xfId="0" applyFont="1" applyAlignment="1">
      <alignment vertical="center"/>
    </xf>
    <xf numFmtId="0" fontId="24" fillId="2" borderId="0" xfId="0" applyFont="1" applyFill="1" applyProtection="1">
      <protection locked="0"/>
    </xf>
    <xf numFmtId="0" fontId="31" fillId="2" borderId="0" xfId="0" applyFont="1" applyFill="1" applyAlignment="1" applyProtection="1">
      <alignment horizontal="center" vertical="center"/>
      <protection locked="0"/>
    </xf>
    <xf numFmtId="0" fontId="32" fillId="2" borderId="0" xfId="0" applyFont="1" applyFill="1" applyAlignment="1" applyProtection="1">
      <alignment horizontal="left" vertical="top" wrapText="1"/>
      <protection locked="0"/>
    </xf>
    <xf numFmtId="0" fontId="21" fillId="4" borderId="0" xfId="0" applyFont="1" applyFill="1" applyProtection="1">
      <protection locked="0"/>
    </xf>
    <xf numFmtId="164" fontId="20" fillId="4" borderId="0" xfId="0" applyNumberFormat="1" applyFont="1" applyFill="1" applyProtection="1">
      <protection locked="0"/>
    </xf>
    <xf numFmtId="0" fontId="31" fillId="2" borderId="0" xfId="0" applyFont="1" applyFill="1" applyAlignment="1" applyProtection="1">
      <alignment horizontal="right"/>
      <protection locked="0"/>
    </xf>
    <xf numFmtId="0" fontId="20" fillId="2" borderId="0" xfId="0" applyFont="1" applyFill="1" applyAlignment="1" applyProtection="1">
      <alignment horizontal="left"/>
      <protection locked="0"/>
    </xf>
    <xf numFmtId="0" fontId="33" fillId="2" borderId="0" xfId="0" applyFont="1" applyFill="1" applyAlignment="1" applyProtection="1">
      <alignment horizontal="left"/>
      <protection locked="0"/>
    </xf>
    <xf numFmtId="0" fontId="20" fillId="2" borderId="0" xfId="0" applyFont="1" applyFill="1" applyAlignment="1" applyProtection="1">
      <alignment vertical="center"/>
      <protection locked="0"/>
    </xf>
    <xf numFmtId="0" fontId="29" fillId="2" borderId="0" xfId="0" applyFont="1" applyFill="1" applyAlignment="1" applyProtection="1">
      <alignment vertical="center" wrapText="1"/>
      <protection locked="0"/>
    </xf>
    <xf numFmtId="0" fontId="27" fillId="2" borderId="0" xfId="0" applyFont="1" applyFill="1" applyAlignment="1" applyProtection="1">
      <alignment horizontal="left" vertical="top" wrapText="1"/>
      <protection locked="0"/>
    </xf>
    <xf numFmtId="0" fontId="29" fillId="2" borderId="0" xfId="0" applyFont="1" applyFill="1" applyAlignment="1" applyProtection="1">
      <alignment vertical="top"/>
      <protection locked="0"/>
    </xf>
    <xf numFmtId="0" fontId="20" fillId="2" borderId="0" xfId="0" applyFont="1" applyFill="1" applyAlignment="1" applyProtection="1">
      <alignment vertical="top"/>
      <protection locked="0"/>
    </xf>
    <xf numFmtId="0" fontId="20" fillId="2" borderId="0" xfId="0" applyFont="1" applyFill="1" applyAlignment="1" applyProtection="1">
      <alignment vertical="top" wrapText="1"/>
      <protection locked="0"/>
    </xf>
    <xf numFmtId="0" fontId="31" fillId="2" borderId="0" xfId="0" applyFont="1" applyFill="1" applyAlignment="1" applyProtection="1">
      <alignment vertical="top" wrapText="1"/>
      <protection locked="0"/>
    </xf>
    <xf numFmtId="0" fontId="20" fillId="2" borderId="0" xfId="0" applyFont="1" applyFill="1" applyAlignment="1" applyProtection="1">
      <alignment horizontal="left" vertical="top" wrapText="1"/>
      <protection locked="0"/>
    </xf>
    <xf numFmtId="0" fontId="13" fillId="0" borderId="0" xfId="0" applyFont="1" applyAlignment="1" applyProtection="1">
      <alignment horizontal="left" vertical="top"/>
      <protection locked="0"/>
    </xf>
    <xf numFmtId="0" fontId="13" fillId="2" borderId="0" xfId="0" applyFont="1" applyFill="1" applyAlignment="1" applyProtection="1">
      <alignment vertical="top"/>
      <protection locked="0"/>
    </xf>
    <xf numFmtId="0" fontId="13" fillId="2" borderId="0" xfId="0" applyFont="1" applyFill="1" applyAlignment="1" applyProtection="1">
      <alignment horizontal="left" vertical="top"/>
      <protection locked="0"/>
    </xf>
    <xf numFmtId="0" fontId="20" fillId="2" borderId="4" xfId="0" applyFont="1" applyFill="1" applyBorder="1" applyProtection="1">
      <protection locked="0"/>
    </xf>
    <xf numFmtId="0" fontId="20" fillId="2" borderId="6" xfId="0" applyFont="1" applyFill="1" applyBorder="1" applyProtection="1">
      <protection locked="0"/>
    </xf>
    <xf numFmtId="0" fontId="20" fillId="2" borderId="43" xfId="0" applyFont="1" applyFill="1" applyBorder="1" applyProtection="1">
      <protection locked="0"/>
    </xf>
    <xf numFmtId="0" fontId="20" fillId="4" borderId="43" xfId="0" applyFont="1" applyFill="1" applyBorder="1" applyProtection="1">
      <protection locked="0"/>
    </xf>
    <xf numFmtId="0" fontId="27" fillId="2" borderId="43" xfId="0" applyFont="1" applyFill="1" applyBorder="1" applyProtection="1">
      <protection locked="0"/>
    </xf>
    <xf numFmtId="0" fontId="31" fillId="2" borderId="25" xfId="0" applyFont="1" applyFill="1" applyBorder="1" applyAlignment="1" applyProtection="1">
      <alignment vertical="top" wrapText="1"/>
      <protection locked="0"/>
    </xf>
    <xf numFmtId="0" fontId="27" fillId="0" borderId="0" xfId="0" applyFont="1" applyAlignment="1">
      <alignment horizontal="left" vertical="center" wrapText="1"/>
    </xf>
    <xf numFmtId="0" fontId="27" fillId="2" borderId="0" xfId="0" applyFont="1" applyFill="1" applyAlignment="1">
      <alignment horizontal="center" vertical="center" wrapText="1"/>
    </xf>
    <xf numFmtId="0" fontId="14" fillId="2" borderId="0" xfId="0" applyFont="1" applyFill="1" applyAlignment="1">
      <alignment horizontal="center" vertical="center"/>
    </xf>
    <xf numFmtId="2" fontId="21" fillId="2" borderId="0" xfId="0" applyNumberFormat="1" applyFont="1" applyFill="1" applyAlignment="1">
      <alignment horizontal="center" vertical="center"/>
    </xf>
    <xf numFmtId="0" fontId="29" fillId="2" borderId="0" xfId="0" applyFont="1" applyFill="1" applyAlignment="1">
      <alignment horizontal="center" vertical="center" wrapText="1"/>
    </xf>
    <xf numFmtId="0" fontId="21" fillId="2" borderId="0" xfId="0" applyFont="1" applyFill="1" applyAlignment="1">
      <alignment vertical="center"/>
    </xf>
    <xf numFmtId="2" fontId="21" fillId="2" borderId="0" xfId="0" applyNumberFormat="1" applyFont="1" applyFill="1" applyAlignment="1">
      <alignment vertical="center"/>
    </xf>
    <xf numFmtId="0" fontId="29" fillId="2" borderId="0" xfId="0" applyFont="1" applyFill="1" applyAlignment="1">
      <alignment vertical="center" wrapText="1"/>
    </xf>
    <xf numFmtId="0" fontId="15" fillId="2" borderId="0" xfId="0" applyFont="1" applyFill="1" applyAlignment="1">
      <alignment horizontal="center" vertical="center" wrapText="1"/>
    </xf>
    <xf numFmtId="0" fontId="28" fillId="14" borderId="89" xfId="0" applyFont="1" applyFill="1" applyBorder="1" applyAlignment="1">
      <alignment horizontal="center" vertical="center" wrapText="1"/>
    </xf>
    <xf numFmtId="0" fontId="28" fillId="14" borderId="90" xfId="0" applyFont="1" applyFill="1" applyBorder="1" applyAlignment="1">
      <alignment horizontal="center" vertical="center" wrapText="1"/>
    </xf>
    <xf numFmtId="0" fontId="28" fillId="14" borderId="85" xfId="0" applyFont="1" applyFill="1" applyBorder="1" applyAlignment="1">
      <alignment horizontal="center" vertical="center" wrapText="1"/>
    </xf>
    <xf numFmtId="0" fontId="35" fillId="14" borderId="85" xfId="0" applyFont="1" applyFill="1" applyBorder="1" applyAlignment="1">
      <alignment horizontal="center" vertical="center" wrapText="1"/>
    </xf>
    <xf numFmtId="0" fontId="78" fillId="24" borderId="80" xfId="0" applyFont="1" applyFill="1" applyBorder="1" applyAlignment="1">
      <alignment horizontal="center" vertical="center"/>
    </xf>
    <xf numFmtId="2" fontId="78" fillId="24" borderId="81" xfId="0" applyNumberFormat="1" applyFont="1" applyFill="1" applyBorder="1" applyAlignment="1">
      <alignment horizontal="center" vertical="center"/>
    </xf>
    <xf numFmtId="0" fontId="14" fillId="15" borderId="83" xfId="0" applyFont="1" applyFill="1" applyBorder="1" applyAlignment="1">
      <alignment horizontal="center" vertical="center"/>
    </xf>
    <xf numFmtId="0" fontId="14" fillId="14" borderId="82" xfId="0" applyFont="1" applyFill="1" applyBorder="1" applyAlignment="1">
      <alignment horizontal="center" vertical="center"/>
    </xf>
    <xf numFmtId="0" fontId="28" fillId="24" borderId="85" xfId="0" applyFont="1" applyFill="1" applyBorder="1" applyAlignment="1">
      <alignment horizontal="center" vertical="center" wrapText="1"/>
    </xf>
    <xf numFmtId="0" fontId="14" fillId="12" borderId="95" xfId="0" applyFont="1" applyFill="1" applyBorder="1" applyAlignment="1">
      <alignment horizontal="center" vertical="center" wrapText="1"/>
    </xf>
    <xf numFmtId="0" fontId="14" fillId="13" borderId="94" xfId="0" applyFont="1" applyFill="1" applyBorder="1" applyAlignment="1">
      <alignment horizontal="center" vertical="center" wrapText="1"/>
    </xf>
    <xf numFmtId="164" fontId="14" fillId="13" borderId="96" xfId="0" applyNumberFormat="1" applyFont="1" applyFill="1" applyBorder="1" applyAlignment="1">
      <alignment horizontal="center" vertical="center" wrapText="1"/>
    </xf>
    <xf numFmtId="0" fontId="14" fillId="11" borderId="97" xfId="0" applyFont="1" applyFill="1" applyBorder="1" applyAlignment="1">
      <alignment horizontal="center" vertical="center"/>
    </xf>
    <xf numFmtId="0" fontId="35" fillId="17" borderId="85" xfId="0" applyFont="1" applyFill="1" applyBorder="1" applyAlignment="1">
      <alignment horizontal="center" vertical="center" wrapText="1"/>
    </xf>
    <xf numFmtId="0" fontId="28" fillId="14" borderId="90" xfId="0" applyFont="1" applyFill="1" applyBorder="1" applyAlignment="1">
      <alignment horizontal="center" vertical="center"/>
    </xf>
    <xf numFmtId="0" fontId="13" fillId="8" borderId="85" xfId="3" applyFont="1" applyFill="1" applyBorder="1" applyAlignment="1">
      <alignment horizontal="center" vertical="center" wrapText="1"/>
    </xf>
    <xf numFmtId="0" fontId="23" fillId="15" borderId="98" xfId="0" applyFont="1" applyFill="1" applyBorder="1" applyAlignment="1">
      <alignment horizontal="center" vertical="center" wrapText="1"/>
    </xf>
    <xf numFmtId="0" fontId="23" fillId="15" borderId="107" xfId="0" applyFont="1" applyFill="1" applyBorder="1" applyAlignment="1">
      <alignment horizontal="center" vertical="center" wrapText="1"/>
    </xf>
    <xf numFmtId="0" fontId="23" fillId="2" borderId="98" xfId="0" applyFont="1" applyFill="1" applyBorder="1" applyAlignment="1" applyProtection="1">
      <alignment horizontal="center" vertical="center"/>
      <protection locked="0"/>
    </xf>
    <xf numFmtId="0" fontId="23" fillId="2" borderId="107" xfId="0" applyFont="1" applyFill="1" applyBorder="1" applyAlignment="1" applyProtection="1">
      <alignment horizontal="center" vertical="center"/>
      <protection locked="0"/>
    </xf>
    <xf numFmtId="1" fontId="42" fillId="2" borderId="98" xfId="0" applyNumberFormat="1" applyFont="1" applyFill="1" applyBorder="1" applyAlignment="1">
      <alignment horizontal="center" vertical="center"/>
    </xf>
    <xf numFmtId="164" fontId="23" fillId="15" borderId="98" xfId="0" applyNumberFormat="1" applyFont="1" applyFill="1" applyBorder="1" applyAlignment="1">
      <alignment horizontal="center" vertical="center"/>
    </xf>
    <xf numFmtId="164" fontId="23" fillId="15" borderId="107" xfId="0" applyNumberFormat="1" applyFont="1" applyFill="1" applyBorder="1" applyAlignment="1">
      <alignment horizontal="center" vertical="center"/>
    </xf>
    <xf numFmtId="164" fontId="30" fillId="15" borderId="98" xfId="0" applyNumberFormat="1" applyFont="1" applyFill="1" applyBorder="1" applyAlignment="1">
      <alignment horizontal="center" vertical="center"/>
    </xf>
    <xf numFmtId="164" fontId="23" fillId="15" borderId="98" xfId="0" quotePrefix="1" applyNumberFormat="1" applyFont="1" applyFill="1" applyBorder="1" applyAlignment="1">
      <alignment horizontal="center" vertical="center"/>
    </xf>
    <xf numFmtId="0" fontId="23" fillId="13" borderId="98" xfId="0" applyFont="1" applyFill="1" applyBorder="1" applyAlignment="1">
      <alignment horizontal="center" vertical="center" wrapText="1"/>
    </xf>
    <xf numFmtId="164" fontId="23" fillId="13" borderId="107" xfId="0" applyNumberFormat="1" applyFont="1" applyFill="1" applyBorder="1" applyAlignment="1">
      <alignment horizontal="center" vertical="center"/>
    </xf>
    <xf numFmtId="0" fontId="23" fillId="13" borderId="98" xfId="0" applyFont="1" applyFill="1" applyBorder="1" applyAlignment="1">
      <alignment horizontal="center" vertical="center"/>
    </xf>
    <xf numFmtId="0" fontId="41" fillId="14" borderId="89" xfId="0" applyFont="1" applyFill="1" applyBorder="1" applyAlignment="1">
      <alignment horizontal="center" vertical="center" wrapText="1"/>
    </xf>
    <xf numFmtId="164" fontId="23" fillId="15" borderId="0" xfId="0" applyNumberFormat="1" applyFont="1" applyFill="1" applyAlignment="1">
      <alignment horizontal="center" vertical="center"/>
    </xf>
    <xf numFmtId="164" fontId="23" fillId="15" borderId="88" xfId="0" applyNumberFormat="1" applyFont="1" applyFill="1" applyBorder="1" applyAlignment="1">
      <alignment horizontal="center" vertical="center"/>
    </xf>
    <xf numFmtId="0" fontId="23" fillId="15" borderId="108" xfId="0" applyFont="1" applyFill="1" applyBorder="1" applyAlignment="1">
      <alignment horizontal="center" vertical="center" wrapText="1"/>
    </xf>
    <xf numFmtId="0" fontId="23" fillId="2" borderId="108" xfId="0" applyFont="1" applyFill="1" applyBorder="1" applyAlignment="1" applyProtection="1">
      <alignment horizontal="center" vertical="center"/>
      <protection locked="0"/>
    </xf>
    <xf numFmtId="164" fontId="23" fillId="15" borderId="108" xfId="0" applyNumberFormat="1" applyFont="1" applyFill="1" applyBorder="1" applyAlignment="1">
      <alignment horizontal="center" vertical="center"/>
    </xf>
    <xf numFmtId="164" fontId="23" fillId="15" borderId="86" xfId="0" applyNumberFormat="1" applyFont="1" applyFill="1" applyBorder="1" applyAlignment="1">
      <alignment horizontal="center" vertical="center"/>
    </xf>
    <xf numFmtId="0" fontId="23" fillId="13" borderId="108" xfId="0" applyFont="1" applyFill="1" applyBorder="1" applyAlignment="1">
      <alignment horizontal="center" vertical="center" wrapText="1"/>
    </xf>
    <xf numFmtId="0" fontId="23" fillId="13" borderId="107" xfId="0" applyFont="1" applyFill="1" applyBorder="1" applyAlignment="1">
      <alignment horizontal="center" vertical="center" wrapText="1"/>
    </xf>
    <xf numFmtId="0" fontId="46" fillId="13" borderId="108" xfId="2" applyFont="1" applyFill="1" applyBorder="1" applyAlignment="1">
      <alignment horizontal="center" vertical="center"/>
    </xf>
    <xf numFmtId="0" fontId="14" fillId="2" borderId="80" xfId="0" applyFont="1" applyFill="1" applyBorder="1" applyAlignment="1">
      <alignment horizontal="left" vertical="center"/>
    </xf>
    <xf numFmtId="14" fontId="13" fillId="2" borderId="81" xfId="0" applyNumberFormat="1" applyFont="1" applyFill="1" applyBorder="1" applyAlignment="1">
      <alignment horizontal="left" vertical="center"/>
    </xf>
    <xf numFmtId="0" fontId="14" fillId="2" borderId="81" xfId="0" applyFont="1" applyFill="1" applyBorder="1" applyAlignment="1">
      <alignment vertical="center"/>
    </xf>
    <xf numFmtId="0" fontId="13" fillId="2" borderId="81" xfId="0" applyFont="1" applyFill="1" applyBorder="1" applyAlignment="1">
      <alignment vertical="center"/>
    </xf>
    <xf numFmtId="0" fontId="14" fillId="2" borderId="81" xfId="0" applyFont="1" applyFill="1" applyBorder="1" applyAlignment="1">
      <alignment horizontal="left" vertical="center"/>
    </xf>
    <xf numFmtId="0" fontId="13" fillId="2" borderId="81" xfId="0" applyFont="1" applyFill="1" applyBorder="1" applyAlignment="1">
      <alignment horizontal="left" vertical="center"/>
    </xf>
    <xf numFmtId="0" fontId="13" fillId="2" borderId="84" xfId="0" applyFont="1" applyFill="1" applyBorder="1" applyAlignment="1">
      <alignment horizontal="left" vertical="center"/>
    </xf>
    <xf numFmtId="0" fontId="14" fillId="14" borderId="130" xfId="0" applyFont="1" applyFill="1" applyBorder="1" applyAlignment="1">
      <alignment vertical="center"/>
    </xf>
    <xf numFmtId="0" fontId="14" fillId="14" borderId="133" xfId="0" applyFont="1" applyFill="1" applyBorder="1" applyAlignment="1">
      <alignment horizontal="center" vertical="center"/>
    </xf>
    <xf numFmtId="0" fontId="27" fillId="8" borderId="134" xfId="0" applyFont="1" applyFill="1" applyBorder="1" applyAlignment="1">
      <alignment horizontal="center" vertical="center" wrapText="1"/>
    </xf>
    <xf numFmtId="0" fontId="27" fillId="8" borderId="135" xfId="0" applyFont="1" applyFill="1" applyBorder="1" applyAlignment="1">
      <alignment horizontal="center" vertical="center" wrapText="1"/>
    </xf>
    <xf numFmtId="0" fontId="19" fillId="8" borderId="134" xfId="0" applyFont="1" applyFill="1" applyBorder="1" applyAlignment="1">
      <alignment horizontal="center" vertical="center" wrapText="1"/>
    </xf>
    <xf numFmtId="0" fontId="27" fillId="8" borderId="136" xfId="0" applyFont="1" applyFill="1" applyBorder="1" applyAlignment="1">
      <alignment horizontal="center" vertical="center" wrapText="1"/>
    </xf>
    <xf numFmtId="0" fontId="27" fillId="8" borderId="137" xfId="0" applyFont="1" applyFill="1" applyBorder="1" applyAlignment="1">
      <alignment horizontal="center" vertical="center" wrapText="1"/>
    </xf>
    <xf numFmtId="0" fontId="14" fillId="14" borderId="89" xfId="0" applyFont="1" applyFill="1" applyBorder="1" applyAlignment="1">
      <alignment vertical="center"/>
    </xf>
    <xf numFmtId="0" fontId="14" fillId="14" borderId="90" xfId="0" applyFont="1" applyFill="1" applyBorder="1" applyAlignment="1">
      <alignment vertical="center"/>
    </xf>
    <xf numFmtId="0" fontId="14" fillId="14" borderId="139" xfId="0" applyFont="1" applyFill="1" applyBorder="1" applyAlignment="1">
      <alignment horizontal="center" vertical="center"/>
    </xf>
    <xf numFmtId="0" fontId="14" fillId="15" borderId="98" xfId="0" applyFont="1" applyFill="1" applyBorder="1" applyAlignment="1">
      <alignment horizontal="center" vertical="top" wrapText="1"/>
    </xf>
    <xf numFmtId="0" fontId="14" fillId="15" borderId="107" xfId="0" applyFont="1" applyFill="1" applyBorder="1" applyAlignment="1">
      <alignment horizontal="center" vertical="center"/>
    </xf>
    <xf numFmtId="0" fontId="19" fillId="8" borderId="136" xfId="0" applyFont="1" applyFill="1" applyBorder="1" applyAlignment="1">
      <alignment horizontal="center" vertical="center" wrapText="1"/>
    </xf>
    <xf numFmtId="0" fontId="14" fillId="14" borderId="130" xfId="0" applyFont="1" applyFill="1" applyBorder="1" applyAlignment="1">
      <alignment horizontal="center" vertical="center"/>
    </xf>
    <xf numFmtId="0" fontId="14" fillId="14" borderId="88" xfId="0" applyFont="1" applyFill="1" applyBorder="1" applyAlignment="1">
      <alignment vertical="center"/>
    </xf>
    <xf numFmtId="0" fontId="77" fillId="8" borderId="85" xfId="1" applyFont="1" applyFill="1" applyBorder="1" applyAlignment="1" applyProtection="1">
      <alignment horizontal="center" vertical="center" wrapText="1"/>
    </xf>
    <xf numFmtId="0" fontId="0" fillId="0" borderId="133" xfId="0" applyBorder="1"/>
    <xf numFmtId="0" fontId="0" fillId="0" borderId="134" xfId="0" applyBorder="1"/>
    <xf numFmtId="0" fontId="0" fillId="0" borderId="135" xfId="0" applyBorder="1"/>
    <xf numFmtId="0" fontId="27" fillId="0" borderId="133" xfId="0" applyFont="1" applyBorder="1" applyAlignment="1" applyProtection="1">
      <alignment horizontal="center" vertical="center" wrapText="1"/>
      <protection locked="0"/>
    </xf>
    <xf numFmtId="0" fontId="27" fillId="0" borderId="134" xfId="0" applyFont="1" applyBorder="1" applyAlignment="1" applyProtection="1">
      <alignment horizontal="center" vertical="center" wrapText="1"/>
      <protection locked="0"/>
    </xf>
    <xf numFmtId="0" fontId="27" fillId="0" borderId="133" xfId="0" applyFont="1" applyBorder="1" applyAlignment="1">
      <alignment horizontal="center" vertical="center" wrapText="1"/>
    </xf>
    <xf numFmtId="0" fontId="27" fillId="0" borderId="134" xfId="0" applyFont="1" applyBorder="1" applyAlignment="1">
      <alignment horizontal="center" vertical="center" wrapText="1"/>
    </xf>
    <xf numFmtId="0" fontId="27" fillId="0" borderId="135" xfId="0" applyFont="1" applyBorder="1" applyAlignment="1">
      <alignment horizontal="center" vertical="center" wrapText="1"/>
    </xf>
    <xf numFmtId="0" fontId="40" fillId="24" borderId="79" xfId="0" applyFont="1" applyFill="1" applyBorder="1" applyAlignment="1">
      <alignment horizontal="center" vertical="center"/>
    </xf>
    <xf numFmtId="0" fontId="14" fillId="14" borderId="79" xfId="0" applyFont="1" applyFill="1" applyBorder="1" applyAlignment="1">
      <alignment horizontal="center" vertical="center"/>
    </xf>
    <xf numFmtId="0" fontId="14" fillId="14" borderId="85" xfId="0" applyFont="1" applyFill="1" applyBorder="1" applyAlignment="1" applyProtection="1">
      <alignment horizontal="center" vertical="center"/>
      <protection locked="0"/>
    </xf>
    <xf numFmtId="0" fontId="14" fillId="9" borderId="85" xfId="0" applyFont="1" applyFill="1" applyBorder="1" applyAlignment="1" applyProtection="1">
      <alignment horizontal="center" vertical="center"/>
      <protection locked="0"/>
    </xf>
    <xf numFmtId="0" fontId="14" fillId="14" borderId="108" xfId="0" applyFont="1" applyFill="1" applyBorder="1" applyAlignment="1" applyProtection="1">
      <alignment horizontal="center" vertical="center"/>
      <protection locked="0"/>
    </xf>
    <xf numFmtId="0" fontId="14" fillId="14" borderId="139" xfId="0" applyFont="1" applyFill="1" applyBorder="1" applyAlignment="1" applyProtection="1">
      <alignment horizontal="center" vertical="center"/>
      <protection locked="0"/>
    </xf>
    <xf numFmtId="0" fontId="14" fillId="14" borderId="86" xfId="0" applyFont="1" applyFill="1" applyBorder="1" applyAlignment="1" applyProtection="1">
      <alignment horizontal="center" vertical="center"/>
      <protection locked="0"/>
    </xf>
    <xf numFmtId="0" fontId="14" fillId="14" borderId="132" xfId="0" applyFont="1" applyFill="1" applyBorder="1" applyAlignment="1" applyProtection="1">
      <alignment horizontal="center" vertical="center"/>
      <protection locked="0"/>
    </xf>
    <xf numFmtId="0" fontId="13" fillId="8" borderId="81" xfId="0" applyFont="1" applyFill="1" applyBorder="1" applyAlignment="1">
      <alignment vertical="center"/>
    </xf>
    <xf numFmtId="1" fontId="13" fillId="2" borderId="81" xfId="0" applyNumberFormat="1" applyFont="1" applyFill="1" applyBorder="1" applyAlignment="1">
      <alignment horizontal="center" vertical="center"/>
    </xf>
    <xf numFmtId="0" fontId="18" fillId="17" borderId="93" xfId="0" applyFont="1" applyFill="1" applyBorder="1" applyAlignment="1">
      <alignment horizontal="center" vertical="center" wrapText="1"/>
    </xf>
    <xf numFmtId="0" fontId="18" fillId="17" borderId="94" xfId="0" applyFont="1" applyFill="1" applyBorder="1" applyAlignment="1">
      <alignment horizontal="center" vertical="center" wrapText="1"/>
    </xf>
    <xf numFmtId="0" fontId="18" fillId="17" borderId="95" xfId="0" applyFont="1" applyFill="1" applyBorder="1" applyAlignment="1">
      <alignment horizontal="center" vertical="center" wrapText="1"/>
    </xf>
    <xf numFmtId="2" fontId="13" fillId="8" borderId="81" xfId="0" applyNumberFormat="1" applyFont="1" applyFill="1" applyBorder="1" applyAlignment="1">
      <alignment vertical="center"/>
    </xf>
    <xf numFmtId="0" fontId="15" fillId="8" borderId="84" xfId="0" applyFont="1" applyFill="1" applyBorder="1" applyAlignment="1">
      <alignment vertical="center"/>
    </xf>
    <xf numFmtId="1" fontId="15" fillId="2" borderId="84" xfId="0" applyNumberFormat="1" applyFont="1" applyFill="1" applyBorder="1" applyAlignment="1">
      <alignment horizontal="center" vertical="center"/>
    </xf>
    <xf numFmtId="164" fontId="18" fillId="13" borderId="156" xfId="0" applyNumberFormat="1" applyFont="1" applyFill="1" applyBorder="1" applyAlignment="1">
      <alignment horizontal="center" vertical="center" wrapText="1"/>
    </xf>
    <xf numFmtId="164" fontId="18" fillId="13" borderId="94" xfId="0" applyNumberFormat="1" applyFont="1" applyFill="1" applyBorder="1" applyAlignment="1">
      <alignment horizontal="center" vertical="center" wrapText="1"/>
    </xf>
    <xf numFmtId="9" fontId="18" fillId="13" borderId="96" xfId="0" applyNumberFormat="1" applyFont="1" applyFill="1" applyBorder="1" applyAlignment="1">
      <alignment horizontal="center" vertical="center" wrapText="1"/>
    </xf>
    <xf numFmtId="0" fontId="13" fillId="2" borderId="140" xfId="0" applyFont="1" applyFill="1" applyBorder="1"/>
    <xf numFmtId="0" fontId="13" fillId="2" borderId="109" xfId="0" applyFont="1" applyFill="1" applyBorder="1"/>
    <xf numFmtId="0" fontId="13" fillId="2" borderId="141" xfId="0" applyFont="1" applyFill="1" applyBorder="1"/>
    <xf numFmtId="0" fontId="13" fillId="2" borderId="144" xfId="0" applyFont="1" applyFill="1" applyBorder="1"/>
    <xf numFmtId="0" fontId="13" fillId="2" borderId="145" xfId="0" applyFont="1" applyFill="1" applyBorder="1"/>
    <xf numFmtId="0" fontId="15" fillId="2" borderId="0" xfId="0" applyFont="1" applyFill="1" applyAlignment="1">
      <alignment vertical="top"/>
    </xf>
    <xf numFmtId="0" fontId="15" fillId="2" borderId="0" xfId="0" applyFont="1" applyFill="1" applyAlignment="1">
      <alignment horizontal="left" vertical="top"/>
    </xf>
    <xf numFmtId="0" fontId="24" fillId="2" borderId="145" xfId="0" applyFont="1" applyFill="1" applyBorder="1"/>
    <xf numFmtId="0" fontId="48" fillId="2" borderId="0" xfId="0" applyFont="1" applyFill="1" applyAlignment="1">
      <alignment vertical="top" wrapText="1"/>
    </xf>
    <xf numFmtId="14" fontId="13" fillId="2" borderId="0" xfId="0" applyNumberFormat="1" applyFont="1" applyFill="1" applyAlignment="1">
      <alignment horizontal="left" vertical="top"/>
    </xf>
    <xf numFmtId="0" fontId="52" fillId="2" borderId="0" xfId="0" applyFont="1" applyFill="1" applyAlignment="1">
      <alignment vertical="center"/>
    </xf>
    <xf numFmtId="0" fontId="48" fillId="2" borderId="144" xfId="0" applyFont="1" applyFill="1" applyBorder="1" applyAlignment="1">
      <alignment vertical="top"/>
    </xf>
    <xf numFmtId="0" fontId="49" fillId="2" borderId="145" xfId="0" applyFont="1" applyFill="1" applyBorder="1"/>
    <xf numFmtId="0" fontId="14" fillId="2" borderId="0" xfId="0" applyFont="1" applyFill="1" applyAlignment="1">
      <alignment vertical="center" wrapText="1"/>
    </xf>
    <xf numFmtId="1" fontId="15" fillId="2" borderId="0" xfId="0" applyNumberFormat="1" applyFont="1" applyFill="1" applyAlignment="1">
      <alignment horizontal="center"/>
    </xf>
    <xf numFmtId="0" fontId="15" fillId="2" borderId="0" xfId="0" applyFont="1" applyFill="1" applyAlignment="1">
      <alignment horizontal="left" vertical="top" wrapText="1"/>
    </xf>
    <xf numFmtId="0" fontId="19" fillId="0" borderId="0" xfId="0" applyFont="1" applyAlignment="1">
      <alignment vertical="top"/>
    </xf>
    <xf numFmtId="0" fontId="24" fillId="0" borderId="145" xfId="0" applyFont="1" applyBorder="1"/>
    <xf numFmtId="0" fontId="30" fillId="2" borderId="0" xfId="0" applyFont="1" applyFill="1" applyAlignment="1">
      <alignment vertical="center" wrapText="1"/>
    </xf>
    <xf numFmtId="0" fontId="13" fillId="2" borderId="146" xfId="0" applyFont="1" applyFill="1" applyBorder="1"/>
    <xf numFmtId="0" fontId="13" fillId="2" borderId="138" xfId="0" applyFont="1" applyFill="1" applyBorder="1"/>
    <xf numFmtId="0" fontId="30" fillId="2" borderId="138" xfId="0" applyFont="1" applyFill="1" applyBorder="1" applyAlignment="1">
      <alignment vertical="center" wrapText="1"/>
    </xf>
    <xf numFmtId="0" fontId="13" fillId="2" borderId="147" xfId="0" applyFont="1" applyFill="1" applyBorder="1"/>
    <xf numFmtId="0" fontId="18" fillId="2" borderId="27" xfId="0" applyFont="1" applyFill="1" applyBorder="1" applyAlignment="1">
      <alignment vertical="top" wrapText="1"/>
    </xf>
    <xf numFmtId="0" fontId="18" fillId="2" borderId="28" xfId="0" applyFont="1" applyFill="1" applyBorder="1" applyAlignment="1">
      <alignment vertical="top" wrapText="1"/>
    </xf>
    <xf numFmtId="0" fontId="18" fillId="2" borderId="33" xfId="0" applyFont="1" applyFill="1" applyBorder="1" applyAlignment="1">
      <alignment vertical="top" wrapText="1"/>
    </xf>
    <xf numFmtId="0" fontId="18" fillId="2" borderId="26" xfId="0" applyFont="1" applyFill="1" applyBorder="1" applyAlignment="1">
      <alignment vertical="top" wrapText="1"/>
    </xf>
    <xf numFmtId="164" fontId="19" fillId="2" borderId="23" xfId="0" applyNumberFormat="1" applyFont="1" applyFill="1" applyBorder="1" applyAlignment="1">
      <alignment horizontal="left" vertical="top" wrapText="1"/>
    </xf>
    <xf numFmtId="164" fontId="19" fillId="2" borderId="2" xfId="0" applyNumberFormat="1" applyFont="1" applyFill="1" applyBorder="1" applyAlignment="1">
      <alignment horizontal="left" vertical="top" wrapText="1"/>
    </xf>
    <xf numFmtId="164" fontId="19" fillId="2" borderId="40" xfId="0" applyNumberFormat="1" applyFont="1" applyFill="1" applyBorder="1" applyAlignment="1">
      <alignment horizontal="left" vertical="top" wrapText="1"/>
    </xf>
    <xf numFmtId="0" fontId="19" fillId="2" borderId="23" xfId="0" applyFont="1" applyFill="1" applyBorder="1" applyAlignment="1">
      <alignment horizontal="left" vertical="top" wrapText="1"/>
    </xf>
    <xf numFmtId="0" fontId="19" fillId="2" borderId="2" xfId="0" applyFont="1" applyFill="1" applyBorder="1" applyAlignment="1">
      <alignment horizontal="left" vertical="top" wrapText="1"/>
    </xf>
    <xf numFmtId="164" fontId="19" fillId="2" borderId="2" xfId="0" applyNumberFormat="1" applyFont="1" applyFill="1" applyBorder="1" applyAlignment="1">
      <alignment vertical="top" wrapText="1"/>
    </xf>
    <xf numFmtId="164" fontId="19" fillId="2" borderId="23" xfId="0" applyNumberFormat="1" applyFont="1" applyFill="1" applyBorder="1" applyAlignment="1">
      <alignment vertical="top" wrapText="1"/>
    </xf>
    <xf numFmtId="164" fontId="18" fillId="8" borderId="23" xfId="0" applyNumberFormat="1" applyFont="1" applyFill="1" applyBorder="1" applyAlignment="1">
      <alignment horizontal="center" vertical="center"/>
    </xf>
    <xf numFmtId="164" fontId="18" fillId="8" borderId="23" xfId="0" applyNumberFormat="1" applyFont="1" applyFill="1" applyBorder="1" applyAlignment="1">
      <alignment horizontal="center" vertical="center" wrapText="1"/>
    </xf>
    <xf numFmtId="164" fontId="18" fillId="8" borderId="2" xfId="0" applyNumberFormat="1" applyFont="1" applyFill="1" applyBorder="1" applyAlignment="1">
      <alignment horizontal="center" vertical="center" wrapText="1"/>
    </xf>
    <xf numFmtId="164" fontId="18" fillId="8" borderId="36" xfId="0" applyNumberFormat="1" applyFont="1" applyFill="1" applyBorder="1" applyAlignment="1">
      <alignment horizontal="center" vertical="center" wrapText="1"/>
    </xf>
    <xf numFmtId="164" fontId="18" fillId="8" borderId="13" xfId="0" applyNumberFormat="1" applyFont="1" applyFill="1" applyBorder="1" applyAlignment="1">
      <alignment horizontal="center" vertical="center" wrapText="1"/>
    </xf>
    <xf numFmtId="0" fontId="28" fillId="2" borderId="0" xfId="0" applyFont="1" applyFill="1"/>
    <xf numFmtId="0" fontId="28" fillId="2" borderId="0" xfId="0" applyFont="1" applyFill="1" applyAlignment="1">
      <alignment horizontal="center"/>
    </xf>
    <xf numFmtId="0" fontId="28" fillId="2" borderId="0" xfId="0" applyFont="1" applyFill="1" applyAlignment="1">
      <alignment vertical="top"/>
    </xf>
    <xf numFmtId="0" fontId="80" fillId="2" borderId="0" xfId="0" applyFont="1" applyFill="1" applyAlignment="1">
      <alignment horizontal="left" vertical="center" wrapText="1"/>
    </xf>
    <xf numFmtId="164" fontId="15" fillId="2" borderId="0" xfId="0" applyNumberFormat="1" applyFont="1" applyFill="1" applyAlignment="1">
      <alignment vertical="top" wrapText="1"/>
    </xf>
    <xf numFmtId="2" fontId="15" fillId="2" borderId="0" xfId="0" applyNumberFormat="1" applyFont="1" applyFill="1" applyAlignment="1">
      <alignment horizontal="center" vertical="center"/>
    </xf>
    <xf numFmtId="0" fontId="50" fillId="2" borderId="0" xfId="0" applyFont="1" applyFill="1" applyAlignment="1">
      <alignment horizontal="left" vertical="center" wrapText="1"/>
    </xf>
    <xf numFmtId="164" fontId="15" fillId="2" borderId="0" xfId="0" applyNumberFormat="1" applyFont="1" applyFill="1" applyAlignment="1">
      <alignment horizontal="right" vertical="center" wrapText="1"/>
    </xf>
    <xf numFmtId="165" fontId="15" fillId="2" borderId="0" xfId="0" applyNumberFormat="1" applyFont="1" applyFill="1" applyAlignment="1">
      <alignment wrapText="1"/>
    </xf>
    <xf numFmtId="0" fontId="15" fillId="2" borderId="0" xfId="0" applyFont="1" applyFill="1" applyAlignment="1">
      <alignment wrapText="1"/>
    </xf>
    <xf numFmtId="165" fontId="15" fillId="2" borderId="0" xfId="0" applyNumberFormat="1" applyFont="1" applyFill="1" applyAlignment="1">
      <alignment horizontal="right"/>
    </xf>
    <xf numFmtId="0" fontId="50" fillId="2" borderId="0" xfId="0" applyFont="1" applyFill="1" applyAlignment="1">
      <alignment vertical="center" wrapText="1"/>
    </xf>
    <xf numFmtId="164" fontId="15" fillId="2" borderId="0" xfId="0" applyNumberFormat="1" applyFont="1" applyFill="1" applyAlignment="1">
      <alignment vertical="center" wrapText="1"/>
    </xf>
    <xf numFmtId="165" fontId="15" fillId="2" borderId="0" xfId="0" applyNumberFormat="1" applyFont="1" applyFill="1" applyAlignment="1">
      <alignment horizontal="center" vertical="center"/>
    </xf>
    <xf numFmtId="0" fontId="15" fillId="2" borderId="0" xfId="0" applyFont="1" applyFill="1" applyAlignment="1">
      <alignment vertical="center"/>
    </xf>
    <xf numFmtId="2" fontId="15" fillId="2" borderId="0" xfId="0" applyNumberFormat="1" applyFont="1" applyFill="1" applyAlignment="1">
      <alignment horizontal="left"/>
    </xf>
    <xf numFmtId="1" fontId="13" fillId="2" borderId="0" xfId="0" applyNumberFormat="1" applyFont="1" applyFill="1" applyAlignment="1">
      <alignment horizontal="center" vertical="center"/>
    </xf>
    <xf numFmtId="165" fontId="13" fillId="2" borderId="0" xfId="0" applyNumberFormat="1" applyFont="1" applyFill="1" applyAlignment="1">
      <alignment horizontal="center" vertical="center"/>
    </xf>
    <xf numFmtId="0" fontId="15" fillId="2" borderId="0" xfId="0" applyFont="1" applyFill="1" applyAlignment="1">
      <alignment horizontal="left" wrapText="1"/>
    </xf>
    <xf numFmtId="165" fontId="13" fillId="2" borderId="0" xfId="0" applyNumberFormat="1" applyFont="1" applyFill="1" applyAlignment="1">
      <alignment horizontal="center"/>
    </xf>
    <xf numFmtId="1" fontId="13" fillId="2" borderId="0" xfId="0" applyNumberFormat="1" applyFont="1" applyFill="1" applyAlignment="1">
      <alignment horizontal="center"/>
    </xf>
    <xf numFmtId="165" fontId="15" fillId="2" borderId="0" xfId="0" applyNumberFormat="1" applyFont="1" applyFill="1" applyAlignment="1">
      <alignment horizontal="center"/>
    </xf>
    <xf numFmtId="165" fontId="15" fillId="2" borderId="0" xfId="0" applyNumberFormat="1" applyFont="1" applyFill="1"/>
    <xf numFmtId="0" fontId="15" fillId="2" borderId="0" xfId="0" applyFont="1" applyFill="1" applyAlignment="1">
      <alignment horizontal="center"/>
    </xf>
    <xf numFmtId="0" fontId="15" fillId="2" borderId="0" xfId="0" applyFont="1" applyFill="1" applyAlignment="1">
      <alignment horizontal="left" vertical="center"/>
    </xf>
    <xf numFmtId="0" fontId="13" fillId="2" borderId="0" xfId="0" applyFont="1" applyFill="1" applyAlignment="1">
      <alignment horizontal="left"/>
    </xf>
    <xf numFmtId="10" fontId="19" fillId="2" borderId="0" xfId="0" applyNumberFormat="1" applyFont="1" applyFill="1" applyAlignment="1">
      <alignment horizontal="left" vertical="center"/>
    </xf>
    <xf numFmtId="10" fontId="19" fillId="2" borderId="0" xfId="0" applyNumberFormat="1" applyFont="1" applyFill="1" applyAlignment="1">
      <alignment horizontal="right" vertical="center"/>
    </xf>
    <xf numFmtId="9" fontId="19" fillId="2" borderId="0" xfId="0" applyNumberFormat="1" applyFont="1" applyFill="1" applyAlignment="1">
      <alignment horizontal="left" vertical="center"/>
    </xf>
    <xf numFmtId="9" fontId="19" fillId="2" borderId="0" xfId="0" applyNumberFormat="1" applyFont="1" applyFill="1" applyAlignment="1">
      <alignment horizontal="right" vertical="center"/>
    </xf>
    <xf numFmtId="164" fontId="18" fillId="8" borderId="34" xfId="0" applyNumberFormat="1" applyFont="1" applyFill="1" applyBorder="1" applyAlignment="1">
      <alignment horizontal="center" vertical="center" wrapText="1"/>
    </xf>
    <xf numFmtId="164" fontId="18" fillId="7" borderId="12" xfId="0" applyNumberFormat="1" applyFont="1" applyFill="1" applyBorder="1" applyAlignment="1">
      <alignment horizontal="center" vertical="center"/>
    </xf>
    <xf numFmtId="164" fontId="18" fillId="8" borderId="31" xfId="0" applyNumberFormat="1" applyFont="1" applyFill="1" applyBorder="1" applyAlignment="1">
      <alignment horizontal="center" vertical="center" wrapText="1"/>
    </xf>
    <xf numFmtId="0" fontId="18" fillId="0" borderId="26" xfId="0" applyFont="1" applyBorder="1" applyAlignment="1">
      <alignment vertical="top" wrapText="1"/>
    </xf>
    <xf numFmtId="0" fontId="18" fillId="0" borderId="29" xfId="0" applyFont="1" applyBorder="1" applyAlignment="1">
      <alignment vertical="top" wrapText="1"/>
    </xf>
    <xf numFmtId="0" fontId="19" fillId="0" borderId="2" xfId="0" applyFont="1" applyBorder="1" applyAlignment="1">
      <alignment vertical="top" wrapText="1"/>
    </xf>
    <xf numFmtId="0" fontId="19" fillId="2" borderId="24" xfId="0" applyFont="1" applyFill="1" applyBorder="1" applyAlignment="1">
      <alignment horizontal="left" vertical="top" wrapText="1"/>
    </xf>
    <xf numFmtId="164" fontId="19" fillId="2" borderId="24" xfId="0" applyNumberFormat="1" applyFont="1" applyFill="1" applyBorder="1" applyAlignment="1">
      <alignment vertical="top" wrapText="1"/>
    </xf>
    <xf numFmtId="164" fontId="19" fillId="2" borderId="24" xfId="0" applyNumberFormat="1" applyFont="1" applyFill="1" applyBorder="1" applyAlignment="1">
      <alignment horizontal="left" vertical="top" wrapText="1"/>
    </xf>
    <xf numFmtId="164" fontId="18" fillId="8" borderId="70" xfId="0" applyNumberFormat="1" applyFont="1" applyFill="1" applyBorder="1" applyAlignment="1">
      <alignment horizontal="center" vertical="center" wrapText="1"/>
    </xf>
    <xf numFmtId="164" fontId="18" fillId="8" borderId="24" xfId="0" applyNumberFormat="1" applyFont="1" applyFill="1" applyBorder="1" applyAlignment="1">
      <alignment horizontal="center" vertical="center" wrapText="1"/>
    </xf>
    <xf numFmtId="164" fontId="19" fillId="2" borderId="2" xfId="0" applyNumberFormat="1" applyFont="1" applyFill="1" applyBorder="1" applyAlignment="1">
      <alignment horizontal="left" vertical="top"/>
    </xf>
    <xf numFmtId="164" fontId="19" fillId="2" borderId="24" xfId="0" applyNumberFormat="1" applyFont="1" applyFill="1" applyBorder="1" applyAlignment="1">
      <alignment horizontal="left" vertical="top"/>
    </xf>
    <xf numFmtId="0" fontId="30" fillId="15" borderId="98" xfId="0" applyFont="1" applyFill="1" applyBorder="1" applyAlignment="1">
      <alignment horizontal="center" vertical="center" wrapText="1"/>
    </xf>
    <xf numFmtId="164" fontId="30" fillId="15" borderId="108" xfId="0" applyNumberFormat="1" applyFont="1" applyFill="1" applyBorder="1" applyAlignment="1">
      <alignment horizontal="center" vertical="center"/>
    </xf>
    <xf numFmtId="164" fontId="30" fillId="15" borderId="0" xfId="0" applyNumberFormat="1" applyFont="1" applyFill="1" applyAlignment="1">
      <alignment horizontal="center" vertical="center"/>
    </xf>
    <xf numFmtId="164" fontId="27" fillId="0" borderId="79" xfId="0" applyNumberFormat="1" applyFont="1" applyBorder="1" applyAlignment="1">
      <alignment horizontal="left" vertical="top" wrapText="1"/>
    </xf>
    <xf numFmtId="0" fontId="35" fillId="14" borderId="160" xfId="0" applyFont="1" applyFill="1" applyBorder="1" applyAlignment="1">
      <alignment horizontal="center" vertical="center" wrapText="1"/>
    </xf>
    <xf numFmtId="164" fontId="27" fillId="2" borderId="158" xfId="0" applyNumberFormat="1" applyFont="1" applyFill="1" applyBorder="1" applyAlignment="1">
      <alignment horizontal="left" vertical="top" wrapText="1"/>
    </xf>
    <xf numFmtId="164" fontId="27" fillId="0" borderId="158" xfId="0" applyNumberFormat="1" applyFont="1" applyBorder="1" applyAlignment="1">
      <alignment horizontal="left" vertical="top" wrapText="1"/>
    </xf>
    <xf numFmtId="0" fontId="27" fillId="0" borderId="162" xfId="0" applyFont="1" applyBorder="1" applyAlignment="1">
      <alignment horizontal="left" vertical="top" wrapText="1"/>
    </xf>
    <xf numFmtId="164" fontId="32" fillId="0" borderId="84" xfId="0" applyNumberFormat="1" applyFont="1" applyBorder="1" applyAlignment="1">
      <alignment horizontal="left" vertical="top" wrapText="1"/>
    </xf>
    <xf numFmtId="0" fontId="35" fillId="14" borderId="90" xfId="0" applyFont="1" applyFill="1" applyBorder="1" applyAlignment="1">
      <alignment horizontal="center" vertical="center" wrapText="1"/>
    </xf>
    <xf numFmtId="0" fontId="35" fillId="14" borderId="37" xfId="0" applyFont="1" applyFill="1" applyBorder="1" applyAlignment="1">
      <alignment horizontal="center" vertical="center" wrapText="1"/>
    </xf>
    <xf numFmtId="0" fontId="35" fillId="14" borderId="9" xfId="0" applyFont="1" applyFill="1" applyBorder="1" applyAlignment="1">
      <alignment horizontal="center" vertical="center" wrapText="1"/>
    </xf>
    <xf numFmtId="0" fontId="21" fillId="15" borderId="92" xfId="0" applyFont="1" applyFill="1" applyBorder="1" applyAlignment="1">
      <alignment horizontal="center" vertical="center" wrapText="1"/>
    </xf>
    <xf numFmtId="0" fontId="21" fillId="15" borderId="79" xfId="0" applyFont="1" applyFill="1" applyBorder="1" applyAlignment="1">
      <alignment horizontal="center" vertical="center" wrapText="1"/>
    </xf>
    <xf numFmtId="0" fontId="53" fillId="15" borderId="164" xfId="0" applyFont="1" applyFill="1" applyBorder="1" applyAlignment="1">
      <alignment horizontal="center" vertical="center" wrapText="1"/>
    </xf>
    <xf numFmtId="0" fontId="21" fillId="2" borderId="92" xfId="0" applyFont="1" applyFill="1" applyBorder="1" applyAlignment="1">
      <alignment horizontal="center" vertical="center"/>
    </xf>
    <xf numFmtId="2" fontId="21" fillId="8" borderId="79" xfId="0" applyNumberFormat="1" applyFont="1" applyFill="1" applyBorder="1" applyAlignment="1">
      <alignment horizontal="center" vertical="center"/>
    </xf>
    <xf numFmtId="0" fontId="29" fillId="2" borderId="164" xfId="0" applyFont="1" applyFill="1" applyBorder="1" applyAlignment="1">
      <alignment vertical="center" wrapText="1"/>
    </xf>
    <xf numFmtId="0" fontId="29" fillId="2" borderId="164" xfId="0" applyFont="1" applyFill="1" applyBorder="1" applyAlignment="1">
      <alignment horizontal="center" vertical="center" wrapText="1"/>
    </xf>
    <xf numFmtId="0" fontId="21" fillId="2" borderId="157" xfId="0" applyFont="1" applyFill="1" applyBorder="1" applyAlignment="1">
      <alignment horizontal="center" vertical="center"/>
    </xf>
    <xf numFmtId="2" fontId="21" fillId="8" borderId="158" xfId="0" applyNumberFormat="1" applyFont="1" applyFill="1" applyBorder="1" applyAlignment="1">
      <alignment horizontal="center" vertical="center"/>
    </xf>
    <xf numFmtId="0" fontId="29" fillId="2" borderId="165" xfId="0" applyFont="1" applyFill="1" applyBorder="1" applyAlignment="1">
      <alignment horizontal="center" vertical="center" wrapText="1"/>
    </xf>
    <xf numFmtId="0" fontId="28" fillId="14" borderId="133" xfId="0" applyFont="1" applyFill="1" applyBorder="1" applyAlignment="1">
      <alignment horizontal="center" vertical="center" wrapText="1"/>
    </xf>
    <xf numFmtId="0" fontId="13" fillId="8" borderId="134" xfId="0" applyFont="1" applyFill="1" applyBorder="1" applyAlignment="1">
      <alignment horizontal="center" vertical="center"/>
    </xf>
    <xf numFmtId="0" fontId="28" fillId="9" borderId="134" xfId="0" applyFont="1" applyFill="1" applyBorder="1" applyAlignment="1">
      <alignment horizontal="center" vertical="center" wrapText="1"/>
    </xf>
    <xf numFmtId="0" fontId="13" fillId="8" borderId="135" xfId="0" applyFont="1" applyFill="1" applyBorder="1" applyAlignment="1">
      <alignment horizontal="center" vertical="center"/>
    </xf>
    <xf numFmtId="0" fontId="35" fillId="9" borderId="85" xfId="0" applyFont="1" applyFill="1" applyBorder="1" applyAlignment="1">
      <alignment vertical="center" wrapText="1"/>
    </xf>
    <xf numFmtId="0" fontId="35" fillId="9" borderId="166" xfId="0" applyFont="1" applyFill="1" applyBorder="1" applyAlignment="1">
      <alignment horizontal="center" vertical="center" wrapText="1"/>
    </xf>
    <xf numFmtId="0" fontId="18" fillId="0" borderId="91" xfId="0" applyFont="1" applyBorder="1" applyAlignment="1">
      <alignment vertical="top" wrapText="1"/>
    </xf>
    <xf numFmtId="0" fontId="19" fillId="2" borderId="162" xfId="0" applyFont="1" applyFill="1" applyBorder="1" applyAlignment="1">
      <alignment horizontal="left" vertical="top" wrapText="1"/>
    </xf>
    <xf numFmtId="164" fontId="19" fillId="2" borderId="162" xfId="0" applyNumberFormat="1" applyFont="1" applyFill="1" applyBorder="1" applyAlignment="1">
      <alignment horizontal="left" vertical="top" wrapText="1"/>
    </xf>
    <xf numFmtId="164" fontId="19" fillId="2" borderId="162" xfId="0" applyNumberFormat="1" applyFont="1" applyFill="1" applyBorder="1" applyAlignment="1">
      <alignment vertical="top" wrapText="1"/>
    </xf>
    <xf numFmtId="0" fontId="18" fillId="0" borderId="92" xfId="0" applyFont="1" applyBorder="1" applyAlignment="1">
      <alignment vertical="top" wrapText="1"/>
    </xf>
    <xf numFmtId="164" fontId="19" fillId="2" borderId="79" xfId="0" applyNumberFormat="1" applyFont="1" applyFill="1" applyBorder="1" applyAlignment="1">
      <alignment horizontal="left" vertical="top" wrapText="1"/>
    </xf>
    <xf numFmtId="164" fontId="19" fillId="2" borderId="79" xfId="0" applyNumberFormat="1" applyFont="1" applyFill="1" applyBorder="1" applyAlignment="1">
      <alignment vertical="top" wrapText="1"/>
    </xf>
    <xf numFmtId="0" fontId="31" fillId="0" borderId="92" xfId="0" applyFont="1" applyBorder="1" applyAlignment="1">
      <alignment vertical="top" wrapText="1"/>
    </xf>
    <xf numFmtId="0" fontId="27" fillId="0" borderId="79" xfId="0" applyFont="1" applyBorder="1" applyAlignment="1">
      <alignment horizontal="left" vertical="top" wrapText="1"/>
    </xf>
    <xf numFmtId="164" fontId="27" fillId="0" borderId="79" xfId="0" applyNumberFormat="1" applyFont="1" applyBorder="1" applyAlignment="1">
      <alignment vertical="top" wrapText="1"/>
    </xf>
    <xf numFmtId="0" fontId="31" fillId="0" borderId="157" xfId="0" applyFont="1" applyBorder="1" applyAlignment="1">
      <alignment vertical="top" wrapText="1"/>
    </xf>
    <xf numFmtId="0" fontId="27" fillId="0" borderId="158" xfId="0" applyFont="1" applyBorder="1" applyAlignment="1">
      <alignment horizontal="left" vertical="top" wrapText="1"/>
    </xf>
    <xf numFmtId="164" fontId="27" fillId="0" borderId="158" xfId="0" applyNumberFormat="1" applyFont="1" applyBorder="1" applyAlignment="1">
      <alignment vertical="top" wrapText="1"/>
    </xf>
    <xf numFmtId="164" fontId="18" fillId="15" borderId="162" xfId="0" applyNumberFormat="1" applyFont="1" applyFill="1" applyBorder="1" applyAlignment="1">
      <alignment horizontal="center" vertical="center"/>
    </xf>
    <xf numFmtId="164" fontId="18" fillId="15" borderId="79" xfId="0" applyNumberFormat="1" applyFont="1" applyFill="1" applyBorder="1" applyAlignment="1">
      <alignment horizontal="center" vertical="center"/>
    </xf>
    <xf numFmtId="164" fontId="31" fillId="15" borderId="79" xfId="0" applyNumberFormat="1" applyFont="1" applyFill="1" applyBorder="1" applyAlignment="1">
      <alignment horizontal="center" vertical="center"/>
    </xf>
    <xf numFmtId="164" fontId="31" fillId="15" borderId="158" xfId="0" applyNumberFormat="1" applyFont="1" applyFill="1" applyBorder="1" applyAlignment="1">
      <alignment horizontal="center" vertical="center"/>
    </xf>
    <xf numFmtId="164" fontId="18" fillId="15" borderId="162" xfId="0" applyNumberFormat="1" applyFont="1" applyFill="1" applyBorder="1" applyAlignment="1">
      <alignment horizontal="center" vertical="center" wrapText="1"/>
    </xf>
    <xf numFmtId="164" fontId="18" fillId="15" borderId="79" xfId="0" applyNumberFormat="1" applyFont="1" applyFill="1" applyBorder="1" applyAlignment="1">
      <alignment horizontal="center" vertical="center" wrapText="1"/>
    </xf>
    <xf numFmtId="164" fontId="31" fillId="15" borderId="79" xfId="0" applyNumberFormat="1" applyFont="1" applyFill="1" applyBorder="1" applyAlignment="1">
      <alignment horizontal="center" vertical="center" wrapText="1"/>
    </xf>
    <xf numFmtId="164" fontId="31" fillId="15" borderId="158" xfId="0" applyNumberFormat="1" applyFont="1" applyFill="1" applyBorder="1" applyAlignment="1">
      <alignment horizontal="center" vertical="center" wrapText="1"/>
    </xf>
    <xf numFmtId="164" fontId="18" fillId="15" borderId="163" xfId="0" applyNumberFormat="1" applyFont="1" applyFill="1" applyBorder="1" applyAlignment="1">
      <alignment horizontal="center" vertical="center" wrapText="1"/>
    </xf>
    <xf numFmtId="164" fontId="18" fillId="15" borderId="164" xfId="0" applyNumberFormat="1" applyFont="1" applyFill="1" applyBorder="1" applyAlignment="1">
      <alignment horizontal="center" vertical="center" wrapText="1"/>
    </xf>
    <xf numFmtId="164" fontId="31" fillId="15" borderId="164" xfId="0" applyNumberFormat="1" applyFont="1" applyFill="1" applyBorder="1" applyAlignment="1">
      <alignment horizontal="center" vertical="center" wrapText="1"/>
    </xf>
    <xf numFmtId="164" fontId="31" fillId="15" borderId="165" xfId="0" applyNumberFormat="1" applyFont="1" applyFill="1" applyBorder="1" applyAlignment="1">
      <alignment horizontal="center" vertical="center" wrapText="1"/>
    </xf>
    <xf numFmtId="0" fontId="19" fillId="0" borderId="79" xfId="0" applyFont="1" applyBorder="1" applyAlignment="1">
      <alignment horizontal="left" vertical="top" wrapText="1"/>
    </xf>
    <xf numFmtId="0" fontId="31" fillId="0" borderId="91" xfId="0" applyFont="1" applyBorder="1" applyAlignment="1">
      <alignment vertical="top" wrapText="1"/>
    </xf>
    <xf numFmtId="164" fontId="31" fillId="15" borderId="162" xfId="0" applyNumberFormat="1" applyFont="1" applyFill="1" applyBorder="1" applyAlignment="1">
      <alignment horizontal="center" vertical="center"/>
    </xf>
    <xf numFmtId="164" fontId="27" fillId="0" borderId="162" xfId="0" applyNumberFormat="1" applyFont="1" applyBorder="1" applyAlignment="1">
      <alignment horizontal="left" vertical="top" wrapText="1"/>
    </xf>
    <xf numFmtId="164" fontId="27" fillId="0" borderId="162" xfId="0" applyNumberFormat="1" applyFont="1" applyBorder="1" applyAlignment="1">
      <alignment vertical="top" wrapText="1"/>
    </xf>
    <xf numFmtId="164" fontId="31" fillId="15" borderId="162" xfId="0" applyNumberFormat="1" applyFont="1" applyFill="1" applyBorder="1" applyAlignment="1">
      <alignment horizontal="center" vertical="center" wrapText="1"/>
    </xf>
    <xf numFmtId="164" fontId="27" fillId="0" borderId="103" xfId="0" applyNumberFormat="1" applyFont="1" applyBorder="1" applyAlignment="1">
      <alignment horizontal="left" vertical="top" wrapText="1"/>
    </xf>
    <xf numFmtId="164" fontId="27" fillId="0" borderId="104" xfId="0" applyNumberFormat="1" applyFont="1" applyBorder="1" applyAlignment="1">
      <alignment horizontal="left" vertical="top" wrapText="1"/>
    </xf>
    <xf numFmtId="164" fontId="27" fillId="0" borderId="105" xfId="0" applyNumberFormat="1" applyFont="1" applyBorder="1" applyAlignment="1">
      <alignment horizontal="left" vertical="top" wrapText="1"/>
    </xf>
    <xf numFmtId="164" fontId="31" fillId="15" borderId="104" xfId="0" applyNumberFormat="1" applyFont="1" applyFill="1" applyBorder="1" applyAlignment="1">
      <alignment horizontal="center" vertical="center" wrapText="1"/>
    </xf>
    <xf numFmtId="164" fontId="31" fillId="13" borderId="168" xfId="0" applyNumberFormat="1" applyFont="1" applyFill="1" applyBorder="1" applyAlignment="1">
      <alignment horizontal="center" vertical="center"/>
    </xf>
    <xf numFmtId="164" fontId="31" fillId="13" borderId="119" xfId="0" applyNumberFormat="1" applyFont="1" applyFill="1" applyBorder="1" applyAlignment="1">
      <alignment horizontal="center" vertical="center"/>
    </xf>
    <xf numFmtId="164" fontId="31" fillId="13" borderId="126" xfId="0" applyNumberFormat="1" applyFont="1" applyFill="1" applyBorder="1" applyAlignment="1">
      <alignment horizontal="center" vertical="center"/>
    </xf>
    <xf numFmtId="164" fontId="31" fillId="15" borderId="133" xfId="0" applyNumberFormat="1" applyFont="1" applyFill="1" applyBorder="1" applyAlignment="1">
      <alignment horizontal="center" vertical="center" wrapText="1"/>
    </xf>
    <xf numFmtId="164" fontId="31" fillId="15" borderId="134" xfId="0" applyNumberFormat="1" applyFont="1" applyFill="1" applyBorder="1" applyAlignment="1">
      <alignment horizontal="center" vertical="center" wrapText="1"/>
    </xf>
    <xf numFmtId="164" fontId="31" fillId="15" borderId="135" xfId="0" applyNumberFormat="1" applyFont="1" applyFill="1" applyBorder="1" applyAlignment="1">
      <alignment horizontal="center" vertical="center" wrapText="1"/>
    </xf>
    <xf numFmtId="164" fontId="31" fillId="13" borderId="133" xfId="0" applyNumberFormat="1" applyFont="1" applyFill="1" applyBorder="1" applyAlignment="1">
      <alignment horizontal="center" vertical="center"/>
    </xf>
    <xf numFmtId="164" fontId="31" fillId="13" borderId="134" xfId="0" applyNumberFormat="1" applyFont="1" applyFill="1" applyBorder="1" applyAlignment="1">
      <alignment horizontal="center" vertical="center"/>
    </xf>
    <xf numFmtId="164" fontId="31" fillId="13" borderId="135" xfId="0" applyNumberFormat="1" applyFont="1" applyFill="1" applyBorder="1" applyAlignment="1">
      <alignment horizontal="center" vertical="center"/>
    </xf>
    <xf numFmtId="0" fontId="31" fillId="0" borderId="91" xfId="0" applyFont="1" applyBorder="1" applyAlignment="1">
      <alignment vertical="top"/>
    </xf>
    <xf numFmtId="0" fontId="31" fillId="0" borderId="92" xfId="0" applyFont="1" applyBorder="1" applyAlignment="1">
      <alignment vertical="top"/>
    </xf>
    <xf numFmtId="0" fontId="27" fillId="0" borderId="79" xfId="0" applyFont="1" applyBorder="1" applyAlignment="1">
      <alignment vertical="top" wrapText="1"/>
    </xf>
    <xf numFmtId="164" fontId="27" fillId="0" borderId="79" xfId="0" applyNumberFormat="1" applyFont="1" applyBorder="1" applyAlignment="1">
      <alignment horizontal="left" vertical="top"/>
    </xf>
    <xf numFmtId="0" fontId="27" fillId="2" borderId="79" xfId="0" applyFont="1" applyFill="1" applyBorder="1" applyAlignment="1">
      <alignment horizontal="left" vertical="top" wrapText="1"/>
    </xf>
    <xf numFmtId="164" fontId="27" fillId="2" borderId="79" xfId="0" applyNumberFormat="1" applyFont="1" applyFill="1" applyBorder="1" applyAlignment="1">
      <alignment horizontal="left" vertical="top" wrapText="1"/>
    </xf>
    <xf numFmtId="164" fontId="27" fillId="2" borderId="79" xfId="0" applyNumberFormat="1" applyFont="1" applyFill="1" applyBorder="1" applyAlignment="1">
      <alignment vertical="top" wrapText="1"/>
    </xf>
    <xf numFmtId="0" fontId="27" fillId="2" borderId="158" xfId="0" applyFont="1" applyFill="1" applyBorder="1" applyAlignment="1">
      <alignment vertical="top" wrapText="1"/>
    </xf>
    <xf numFmtId="164" fontId="27" fillId="2" borderId="158" xfId="0" applyNumberFormat="1" applyFont="1" applyFill="1" applyBorder="1" applyAlignment="1">
      <alignment vertical="top" wrapText="1"/>
    </xf>
    <xf numFmtId="0" fontId="27" fillId="0" borderId="104" xfId="0" applyFont="1" applyBorder="1" applyAlignment="1">
      <alignment horizontal="left" vertical="top" wrapText="1"/>
    </xf>
    <xf numFmtId="164" fontId="27" fillId="0" borderId="104" xfId="0" applyNumberFormat="1" applyFont="1" applyBorder="1" applyAlignment="1">
      <alignment horizontal="left" vertical="top"/>
    </xf>
    <xf numFmtId="0" fontId="27" fillId="2" borderId="104" xfId="0" applyFont="1" applyFill="1" applyBorder="1" applyAlignment="1">
      <alignment horizontal="left" vertical="top" wrapText="1"/>
    </xf>
    <xf numFmtId="0" fontId="27" fillId="2" borderId="105" xfId="0" applyFont="1" applyFill="1" applyBorder="1" applyAlignment="1">
      <alignment horizontal="left" vertical="top" wrapText="1"/>
    </xf>
    <xf numFmtId="164" fontId="31" fillId="15" borderId="163" xfId="0" applyNumberFormat="1" applyFont="1" applyFill="1" applyBorder="1" applyAlignment="1">
      <alignment horizontal="center" vertical="center" wrapText="1"/>
    </xf>
    <xf numFmtId="164" fontId="19" fillId="0" borderId="79" xfId="0" applyNumberFormat="1" applyFont="1" applyBorder="1" applyAlignment="1">
      <alignment vertical="top" wrapText="1"/>
    </xf>
    <xf numFmtId="164" fontId="19" fillId="0" borderId="79" xfId="0" applyNumberFormat="1" applyFont="1" applyBorder="1" applyAlignment="1">
      <alignment horizontal="left" vertical="top" wrapText="1"/>
    </xf>
    <xf numFmtId="0" fontId="23" fillId="13" borderId="107" xfId="0" applyFont="1" applyFill="1" applyBorder="1" applyAlignment="1">
      <alignment horizontal="center" vertical="center"/>
    </xf>
    <xf numFmtId="164" fontId="27" fillId="0" borderId="163" xfId="0" applyNumberFormat="1" applyFont="1" applyBorder="1" applyAlignment="1">
      <alignment horizontal="left" vertical="top" wrapText="1"/>
    </xf>
    <xf numFmtId="164" fontId="27" fillId="0" borderId="165" xfId="0" applyNumberFormat="1" applyFont="1" applyBorder="1" applyAlignment="1">
      <alignment horizontal="left" vertical="top" wrapText="1"/>
    </xf>
    <xf numFmtId="0" fontId="31" fillId="0" borderId="159" xfId="0" applyFont="1" applyBorder="1" applyAlignment="1">
      <alignment vertical="top" wrapText="1"/>
    </xf>
    <xf numFmtId="0" fontId="27" fillId="0" borderId="80" xfId="0" applyFont="1" applyBorder="1" applyAlignment="1">
      <alignment horizontal="left" vertical="top" wrapText="1"/>
    </xf>
    <xf numFmtId="164" fontId="31" fillId="15" borderId="80" xfId="0" applyNumberFormat="1" applyFont="1" applyFill="1" applyBorder="1" applyAlignment="1">
      <alignment horizontal="center" vertical="center"/>
    </xf>
    <xf numFmtId="164" fontId="27" fillId="0" borderId="80" xfId="0" applyNumberFormat="1" applyFont="1" applyBorder="1" applyAlignment="1">
      <alignment horizontal="left" vertical="top" wrapText="1"/>
    </xf>
    <xf numFmtId="164" fontId="27" fillId="0" borderId="80" xfId="0" applyNumberFormat="1" applyFont="1" applyBorder="1" applyAlignment="1">
      <alignment vertical="top" wrapText="1"/>
    </xf>
    <xf numFmtId="164" fontId="31" fillId="15" borderId="80" xfId="0" applyNumberFormat="1" applyFont="1" applyFill="1" applyBorder="1" applyAlignment="1">
      <alignment horizontal="center" vertical="center" wrapText="1"/>
    </xf>
    <xf numFmtId="0" fontId="19" fillId="2" borderId="79" xfId="0" applyFont="1" applyFill="1" applyBorder="1" applyAlignment="1">
      <alignment horizontal="left" vertical="top" wrapText="1"/>
    </xf>
    <xf numFmtId="164" fontId="27" fillId="2" borderId="79" xfId="0" quotePrefix="1" applyNumberFormat="1" applyFont="1" applyFill="1" applyBorder="1" applyAlignment="1">
      <alignment horizontal="left" vertical="top" wrapText="1"/>
    </xf>
    <xf numFmtId="0" fontId="19" fillId="0" borderId="158" xfId="0" applyFont="1" applyBorder="1" applyAlignment="1">
      <alignment horizontal="left" vertical="top" wrapText="1"/>
    </xf>
    <xf numFmtId="164" fontId="18" fillId="15" borderId="158" xfId="0" applyNumberFormat="1" applyFont="1" applyFill="1" applyBorder="1" applyAlignment="1">
      <alignment horizontal="center" vertical="center"/>
    </xf>
    <xf numFmtId="164" fontId="18" fillId="13" borderId="133" xfId="0" applyNumberFormat="1" applyFont="1" applyFill="1" applyBorder="1" applyAlignment="1">
      <alignment horizontal="center" vertical="center"/>
    </xf>
    <xf numFmtId="164" fontId="18" fillId="13" borderId="134" xfId="0" applyNumberFormat="1" applyFont="1" applyFill="1" applyBorder="1" applyAlignment="1">
      <alignment horizontal="center" vertical="center"/>
    </xf>
    <xf numFmtId="164" fontId="18" fillId="15" borderId="103" xfId="0" applyNumberFormat="1" applyFont="1" applyFill="1" applyBorder="1" applyAlignment="1">
      <alignment horizontal="center" vertical="center" wrapText="1"/>
    </xf>
    <xf numFmtId="164" fontId="18" fillId="15" borderId="104" xfId="0" applyNumberFormat="1" applyFont="1" applyFill="1" applyBorder="1" applyAlignment="1">
      <alignment horizontal="center" vertical="center" wrapText="1"/>
    </xf>
    <xf numFmtId="164" fontId="31" fillId="15" borderId="140" xfId="0" applyNumberFormat="1" applyFont="1" applyFill="1" applyBorder="1" applyAlignment="1">
      <alignment horizontal="center" vertical="center" wrapText="1"/>
    </xf>
    <xf numFmtId="164" fontId="18" fillId="13" borderId="137" xfId="0" applyNumberFormat="1" applyFont="1" applyFill="1" applyBorder="1" applyAlignment="1">
      <alignment horizontal="center" vertical="center"/>
    </xf>
    <xf numFmtId="0" fontId="35" fillId="9" borderId="85" xfId="0" applyFont="1" applyFill="1" applyBorder="1" applyAlignment="1">
      <alignment horizontal="center" vertical="center" wrapText="1"/>
    </xf>
    <xf numFmtId="0" fontId="28" fillId="9" borderId="133" xfId="0" applyFont="1" applyFill="1" applyBorder="1" applyAlignment="1">
      <alignment horizontal="center" vertical="center" wrapText="1"/>
    </xf>
    <xf numFmtId="0" fontId="30" fillId="13" borderId="98" xfId="0" applyFont="1" applyFill="1" applyBorder="1" applyAlignment="1">
      <alignment horizontal="center" vertical="center" wrapText="1"/>
    </xf>
    <xf numFmtId="164" fontId="18" fillId="13" borderId="135" xfId="0" applyNumberFormat="1" applyFont="1" applyFill="1" applyBorder="1" applyAlignment="1">
      <alignment horizontal="center" vertical="center"/>
    </xf>
    <xf numFmtId="164" fontId="19" fillId="0" borderId="2" xfId="0" applyNumberFormat="1" applyFont="1" applyBorder="1" applyAlignment="1">
      <alignment vertical="top" wrapText="1"/>
    </xf>
    <xf numFmtId="0" fontId="19" fillId="2" borderId="158" xfId="0" applyFont="1" applyFill="1" applyBorder="1" applyAlignment="1">
      <alignment vertical="top" wrapText="1"/>
    </xf>
    <xf numFmtId="0" fontId="18" fillId="0" borderId="157" xfId="0" applyFont="1" applyBorder="1" applyAlignment="1">
      <alignment vertical="top" wrapText="1"/>
    </xf>
    <xf numFmtId="2" fontId="78" fillId="17" borderId="94" xfId="0" applyNumberFormat="1" applyFont="1" applyFill="1" applyBorder="1" applyAlignment="1">
      <alignment horizontal="center" vertical="center"/>
    </xf>
    <xf numFmtId="0" fontId="21" fillId="15" borderId="108" xfId="0" applyFont="1" applyFill="1" applyBorder="1" applyAlignment="1">
      <alignment vertical="center" wrapText="1"/>
    </xf>
    <xf numFmtId="0" fontId="21" fillId="15" borderId="98" xfId="0" applyFont="1" applyFill="1" applyBorder="1" applyAlignment="1">
      <alignment vertical="center" wrapText="1"/>
    </xf>
    <xf numFmtId="0" fontId="21" fillId="15" borderId="107" xfId="0" applyFont="1" applyFill="1" applyBorder="1" applyAlignment="1">
      <alignment vertical="center" wrapText="1"/>
    </xf>
    <xf numFmtId="164" fontId="14" fillId="15" borderId="84" xfId="0" applyNumberFormat="1" applyFont="1" applyFill="1" applyBorder="1" applyAlignment="1">
      <alignment horizontal="center" vertical="center"/>
    </xf>
    <xf numFmtId="164" fontId="13" fillId="2" borderId="0" xfId="0" applyNumberFormat="1" applyFont="1" applyFill="1" applyAlignment="1">
      <alignment horizontal="center" vertical="center"/>
    </xf>
    <xf numFmtId="10" fontId="15" fillId="2" borderId="0" xfId="0" applyNumberFormat="1" applyFont="1" applyFill="1" applyAlignment="1">
      <alignment horizontal="center"/>
    </xf>
    <xf numFmtId="0" fontId="30" fillId="0" borderId="103" xfId="0" applyFont="1" applyBorder="1" applyAlignment="1">
      <alignment vertical="center" wrapText="1"/>
    </xf>
    <xf numFmtId="0" fontId="30" fillId="0" borderId="104" xfId="0" applyFont="1" applyBorder="1" applyAlignment="1">
      <alignment vertical="center" wrapText="1"/>
    </xf>
    <xf numFmtId="0" fontId="23" fillId="0" borderId="100" xfId="0" applyFont="1" applyBorder="1" applyAlignment="1">
      <alignment vertical="center"/>
    </xf>
    <xf numFmtId="0" fontId="23" fillId="0" borderId="104" xfId="0" applyFont="1" applyBorder="1" applyAlignment="1">
      <alignment vertical="center" wrapText="1"/>
    </xf>
    <xf numFmtId="0" fontId="30" fillId="0" borderId="100" xfId="0" applyFont="1" applyBorder="1" applyAlignment="1">
      <alignment vertical="center"/>
    </xf>
    <xf numFmtId="0" fontId="23" fillId="0" borderId="101" xfId="0" applyFont="1" applyBorder="1" applyAlignment="1">
      <alignment vertical="center"/>
    </xf>
    <xf numFmtId="0" fontId="23" fillId="0" borderId="105" xfId="0" applyFont="1" applyBorder="1" applyAlignment="1">
      <alignment vertical="center" wrapText="1"/>
    </xf>
    <xf numFmtId="0" fontId="30" fillId="0" borderId="106" xfId="0" applyFont="1" applyBorder="1" applyAlignment="1">
      <alignment vertical="center" wrapText="1"/>
    </xf>
    <xf numFmtId="0" fontId="30" fillId="0" borderId="102" xfId="0" applyFont="1" applyBorder="1" applyAlignment="1">
      <alignment vertical="center" wrapText="1"/>
    </xf>
    <xf numFmtId="0" fontId="30" fillId="8" borderId="85" xfId="3" applyFont="1" applyFill="1" applyBorder="1" applyAlignment="1">
      <alignment horizontal="center" vertical="center" wrapText="1"/>
    </xf>
    <xf numFmtId="0" fontId="30" fillId="0" borderId="110" xfId="0" applyFont="1" applyBorder="1" applyAlignment="1">
      <alignment vertical="center"/>
    </xf>
    <xf numFmtId="0" fontId="30" fillId="0" borderId="111" xfId="0" applyFont="1" applyBorder="1" applyAlignment="1">
      <alignment vertical="center"/>
    </xf>
    <xf numFmtId="0" fontId="30" fillId="0" borderId="112" xfId="0" applyFont="1" applyBorder="1" applyAlignment="1">
      <alignment vertical="center"/>
    </xf>
    <xf numFmtId="0" fontId="30" fillId="0" borderId="113" xfId="0" applyFont="1" applyBorder="1" applyAlignment="1">
      <alignment vertical="center"/>
    </xf>
    <xf numFmtId="0" fontId="23" fillId="8" borderId="85" xfId="1" applyFont="1" applyFill="1" applyBorder="1" applyAlignment="1" applyProtection="1">
      <alignment horizontal="center" vertical="center" wrapText="1"/>
    </xf>
    <xf numFmtId="0" fontId="30" fillId="0" borderId="114" xfId="0" applyFont="1" applyBorder="1" applyAlignment="1">
      <alignment vertical="center"/>
    </xf>
    <xf numFmtId="0" fontId="30" fillId="0" borderId="115" xfId="0" applyFont="1" applyBorder="1" applyAlignment="1">
      <alignment vertical="center"/>
    </xf>
    <xf numFmtId="0" fontId="30" fillId="0" borderId="116" xfId="0" applyFont="1" applyBorder="1" applyAlignment="1">
      <alignment vertical="center"/>
    </xf>
    <xf numFmtId="0" fontId="30" fillId="0" borderId="117" xfId="0" applyFont="1" applyBorder="1" applyAlignment="1">
      <alignment vertical="center"/>
    </xf>
    <xf numFmtId="0" fontId="30" fillId="0" borderId="118" xfId="0" applyFont="1" applyBorder="1" applyAlignment="1">
      <alignment vertical="center"/>
    </xf>
    <xf numFmtId="0" fontId="30" fillId="0" borderId="119" xfId="0" applyFont="1" applyBorder="1" applyAlignment="1">
      <alignment vertical="center"/>
    </xf>
    <xf numFmtId="0" fontId="30" fillId="0" borderId="124" xfId="0" applyFont="1" applyBorder="1" applyAlignment="1">
      <alignment vertical="center"/>
    </xf>
    <xf numFmtId="0" fontId="30" fillId="0" borderId="120" xfId="0" applyFont="1" applyBorder="1" applyAlignment="1">
      <alignment vertical="center"/>
    </xf>
    <xf numFmtId="0" fontId="30" fillId="2" borderId="120" xfId="0" applyFont="1" applyFill="1" applyBorder="1" applyAlignment="1">
      <alignment vertical="center"/>
    </xf>
    <xf numFmtId="0" fontId="30" fillId="2" borderId="113" xfId="0" applyFont="1" applyFill="1" applyBorder="1" applyAlignment="1">
      <alignment vertical="center" wrapText="1"/>
    </xf>
    <xf numFmtId="0" fontId="30" fillId="0" borderId="113" xfId="0" applyFont="1" applyBorder="1" applyAlignment="1">
      <alignment vertical="center" wrapText="1"/>
    </xf>
    <xf numFmtId="0" fontId="23" fillId="0" borderId="125" xfId="0" applyFont="1" applyBorder="1" applyAlignment="1">
      <alignment vertical="center"/>
    </xf>
    <xf numFmtId="0" fontId="23" fillId="0" borderId="126" xfId="0" applyFont="1" applyBorder="1" applyAlignment="1">
      <alignment vertical="center"/>
    </xf>
    <xf numFmtId="0" fontId="30" fillId="0" borderId="127" xfId="0" applyFont="1" applyBorder="1" applyAlignment="1">
      <alignment vertical="center"/>
    </xf>
    <xf numFmtId="0" fontId="30" fillId="0" borderId="128" xfId="0" applyFont="1" applyBorder="1" applyAlignment="1">
      <alignment vertical="center"/>
    </xf>
    <xf numFmtId="0" fontId="23" fillId="0" borderId="118" xfId="0" applyFont="1" applyBorder="1" applyAlignment="1">
      <alignment vertical="center"/>
    </xf>
    <xf numFmtId="0" fontId="23" fillId="0" borderId="122" xfId="0" applyFont="1" applyBorder="1" applyAlignment="1">
      <alignment vertical="center"/>
    </xf>
    <xf numFmtId="0" fontId="23" fillId="0" borderId="122" xfId="0" applyFont="1" applyBorder="1" applyAlignment="1">
      <alignment vertical="center" wrapText="1"/>
    </xf>
    <xf numFmtId="0" fontId="23" fillId="0" borderId="129" xfId="0" applyFont="1" applyBorder="1" applyAlignment="1">
      <alignment vertical="center"/>
    </xf>
    <xf numFmtId="0" fontId="23" fillId="0" borderId="126" xfId="0" applyFont="1" applyBorder="1" applyAlignment="1">
      <alignment vertical="center" wrapText="1"/>
    </xf>
    <xf numFmtId="0" fontId="30" fillId="2" borderId="98" xfId="0" applyFont="1" applyFill="1" applyBorder="1"/>
    <xf numFmtId="0" fontId="30" fillId="2" borderId="107" xfId="0" applyFont="1" applyFill="1" applyBorder="1"/>
    <xf numFmtId="0" fontId="30" fillId="8" borderId="1" xfId="3" applyFont="1" applyFill="1" applyAlignment="1">
      <alignment horizontal="center" vertical="center" wrapText="1"/>
    </xf>
    <xf numFmtId="0" fontId="30" fillId="2" borderId="0" xfId="0" applyFont="1" applyFill="1"/>
    <xf numFmtId="0" fontId="30" fillId="2" borderId="0" xfId="0" applyFont="1" applyFill="1" applyAlignment="1">
      <alignment vertical="top"/>
    </xf>
    <xf numFmtId="0" fontId="30" fillId="2" borderId="0" xfId="0" applyFont="1" applyFill="1" applyAlignment="1">
      <alignment vertical="top" wrapText="1"/>
    </xf>
    <xf numFmtId="0" fontId="43" fillId="2" borderId="0" xfId="0" applyFont="1" applyFill="1"/>
    <xf numFmtId="0" fontId="14" fillId="18" borderId="72" xfId="0" applyFont="1" applyFill="1" applyBorder="1" applyAlignment="1">
      <alignment vertical="center"/>
    </xf>
    <xf numFmtId="0" fontId="22" fillId="0" borderId="72" xfId="0" applyFont="1" applyBorder="1" applyAlignment="1">
      <alignment horizontal="center" vertical="center"/>
    </xf>
    <xf numFmtId="0" fontId="23" fillId="2" borderId="77" xfId="0" applyFont="1" applyFill="1" applyBorder="1" applyAlignment="1">
      <alignment vertical="center"/>
    </xf>
    <xf numFmtId="0" fontId="23" fillId="2" borderId="76" xfId="0" applyFont="1" applyFill="1" applyBorder="1" applyAlignment="1">
      <alignment vertical="center"/>
    </xf>
    <xf numFmtId="0" fontId="23" fillId="2" borderId="78" xfId="0" applyFont="1" applyFill="1" applyBorder="1" applyAlignment="1">
      <alignment vertical="center"/>
    </xf>
    <xf numFmtId="0" fontId="1" fillId="19" borderId="72" xfId="3" applyFont="1" applyFill="1" applyBorder="1">
      <alignment horizontal="center" vertical="top" wrapText="1"/>
    </xf>
    <xf numFmtId="0" fontId="23" fillId="20" borderId="72" xfId="0" applyFont="1" applyFill="1" applyBorder="1"/>
    <xf numFmtId="0" fontId="22" fillId="0" borderId="72" xfId="0" applyFont="1" applyBorder="1" applyAlignment="1">
      <alignment horizontal="center" vertical="center" wrapText="1"/>
    </xf>
    <xf numFmtId="0" fontId="23" fillId="20" borderId="72" xfId="0" applyFont="1" applyFill="1" applyBorder="1" applyAlignment="1" applyProtection="1">
      <alignment horizontal="center" vertical="center"/>
      <protection locked="0"/>
    </xf>
    <xf numFmtId="0" fontId="23" fillId="20" borderId="72" xfId="0" applyFont="1" applyFill="1" applyBorder="1" applyAlignment="1" applyProtection="1">
      <alignment horizontal="center" vertical="center" wrapText="1"/>
      <protection locked="0"/>
    </xf>
    <xf numFmtId="0" fontId="22" fillId="2" borderId="0" xfId="0" applyFont="1" applyFill="1" applyAlignment="1">
      <alignment vertical="center"/>
    </xf>
    <xf numFmtId="49" fontId="23" fillId="2" borderId="72" xfId="0" quotePrefix="1" applyNumberFormat="1" applyFont="1" applyFill="1" applyBorder="1" applyAlignment="1" applyProtection="1">
      <alignment horizontal="left" vertical="center"/>
      <protection locked="0"/>
    </xf>
    <xf numFmtId="0" fontId="23" fillId="2" borderId="0" xfId="0" quotePrefix="1" applyFont="1" applyFill="1"/>
    <xf numFmtId="49" fontId="23" fillId="2" borderId="72" xfId="0" applyNumberFormat="1" applyFont="1" applyFill="1" applyBorder="1" applyAlignment="1" applyProtection="1">
      <alignment horizontal="left" vertical="center"/>
      <protection locked="0"/>
    </xf>
    <xf numFmtId="0" fontId="82" fillId="2" borderId="71" xfId="3" applyFont="1" applyFill="1" applyBorder="1" applyAlignment="1">
      <alignment horizontal="center" vertical="center" wrapText="1"/>
    </xf>
    <xf numFmtId="0" fontId="83" fillId="2" borderId="0" xfId="0" applyFont="1" applyFill="1" applyAlignment="1" applyProtection="1">
      <alignment horizontal="center" vertical="center"/>
      <protection locked="0"/>
    </xf>
    <xf numFmtId="0" fontId="14" fillId="18" borderId="73" xfId="0" applyFont="1" applyFill="1" applyBorder="1" applyAlignment="1">
      <alignment horizontal="center" vertical="center"/>
    </xf>
    <xf numFmtId="164" fontId="14" fillId="19" borderId="75" xfId="0" applyNumberFormat="1" applyFont="1" applyFill="1" applyBorder="1" applyAlignment="1">
      <alignment horizontal="center" vertical="center"/>
    </xf>
    <xf numFmtId="0" fontId="22" fillId="0" borderId="0" xfId="0" applyFont="1" applyAlignment="1">
      <alignment horizontal="left" vertical="center"/>
    </xf>
    <xf numFmtId="0" fontId="23" fillId="2" borderId="0" xfId="0" applyFont="1" applyFill="1" applyAlignment="1">
      <alignment horizontal="center" vertical="center"/>
    </xf>
    <xf numFmtId="0" fontId="81" fillId="2" borderId="0" xfId="0" applyFont="1" applyFill="1" applyAlignment="1">
      <alignment vertical="center"/>
    </xf>
    <xf numFmtId="0" fontId="23" fillId="2" borderId="0" xfId="0" applyFont="1" applyFill="1" applyAlignment="1">
      <alignment vertical="center"/>
    </xf>
    <xf numFmtId="0" fontId="23" fillId="5" borderId="0" xfId="0" applyFont="1" applyFill="1" applyAlignment="1" applyProtection="1">
      <alignment horizontal="center" vertical="center"/>
      <protection locked="0"/>
    </xf>
    <xf numFmtId="0" fontId="22" fillId="2" borderId="62" xfId="0" applyFont="1" applyFill="1" applyBorder="1" applyAlignment="1">
      <alignment horizontal="left" vertical="center"/>
    </xf>
    <xf numFmtId="0" fontId="23" fillId="5" borderId="63" xfId="0" applyFont="1" applyFill="1" applyBorder="1" applyAlignment="1" applyProtection="1">
      <alignment horizontal="center" vertical="center"/>
      <protection locked="0"/>
    </xf>
    <xf numFmtId="164" fontId="84" fillId="21" borderId="67" xfId="0" applyNumberFormat="1" applyFont="1" applyFill="1" applyBorder="1" applyAlignment="1">
      <alignment horizontal="center" vertical="center"/>
    </xf>
    <xf numFmtId="164" fontId="22" fillId="16" borderId="68" xfId="0" applyNumberFormat="1" applyFont="1" applyFill="1" applyBorder="1" applyAlignment="1" applyProtection="1">
      <alignment horizontal="center" vertical="center"/>
      <protection locked="0"/>
    </xf>
    <xf numFmtId="164" fontId="84" fillId="21" borderId="68" xfId="0" applyNumberFormat="1" applyFont="1" applyFill="1" applyBorder="1" applyAlignment="1">
      <alignment horizontal="center" vertical="center"/>
    </xf>
    <xf numFmtId="0" fontId="23" fillId="2" borderId="62" xfId="0" applyFont="1" applyFill="1" applyBorder="1"/>
    <xf numFmtId="164" fontId="14" fillId="2" borderId="0" xfId="0" applyNumberFormat="1" applyFont="1" applyFill="1" applyAlignment="1">
      <alignment horizontal="center" vertical="center"/>
    </xf>
    <xf numFmtId="164" fontId="85" fillId="2" borderId="0" xfId="0" applyNumberFormat="1" applyFont="1" applyFill="1" applyAlignment="1">
      <alignment horizontal="center" vertical="center"/>
    </xf>
    <xf numFmtId="0" fontId="23" fillId="2" borderId="62" xfId="0" applyFont="1" applyFill="1" applyBorder="1" applyAlignment="1">
      <alignment horizontal="left" vertical="center"/>
    </xf>
    <xf numFmtId="164" fontId="22" fillId="16" borderId="69" xfId="0" applyNumberFormat="1" applyFont="1" applyFill="1" applyBorder="1" applyAlignment="1">
      <alignment horizontal="center" vertical="center"/>
    </xf>
    <xf numFmtId="164" fontId="22" fillId="2" borderId="0" xfId="0" applyNumberFormat="1" applyFont="1" applyFill="1" applyAlignment="1">
      <alignment horizontal="center" vertical="center"/>
    </xf>
    <xf numFmtId="0" fontId="23" fillId="2" borderId="64" xfId="0" applyFont="1" applyFill="1" applyBorder="1"/>
    <xf numFmtId="0" fontId="23" fillId="2" borderId="65" xfId="0" applyFont="1" applyFill="1" applyBorder="1"/>
    <xf numFmtId="0" fontId="23" fillId="22" borderId="65" xfId="0" applyFont="1" applyFill="1" applyBorder="1"/>
    <xf numFmtId="164" fontId="85" fillId="2" borderId="65" xfId="0" applyNumberFormat="1" applyFont="1" applyFill="1" applyBorder="1" applyAlignment="1">
      <alignment horizontal="center" vertical="center"/>
    </xf>
    <xf numFmtId="0" fontId="23" fillId="2" borderId="66" xfId="0" applyFont="1" applyFill="1" applyBorder="1"/>
    <xf numFmtId="0" fontId="81" fillId="2" borderId="0" xfId="0" applyFont="1" applyFill="1"/>
    <xf numFmtId="0" fontId="23" fillId="2" borderId="0" xfId="0" applyFont="1" applyFill="1" applyAlignment="1">
      <alignment horizontal="center"/>
    </xf>
    <xf numFmtId="0" fontId="15" fillId="14" borderId="130" xfId="0" applyFont="1" applyFill="1" applyBorder="1" applyAlignment="1">
      <alignment vertical="center"/>
    </xf>
    <xf numFmtId="0" fontId="15" fillId="14" borderId="0" xfId="0" applyFont="1" applyFill="1" applyAlignment="1">
      <alignment vertical="center"/>
    </xf>
    <xf numFmtId="0" fontId="15" fillId="14" borderId="88" xfId="0" applyFont="1" applyFill="1" applyBorder="1" applyAlignment="1">
      <alignment vertical="center"/>
    </xf>
    <xf numFmtId="0" fontId="15" fillId="14" borderId="86" xfId="0" applyFont="1" applyFill="1" applyBorder="1" applyAlignment="1">
      <alignment vertical="center"/>
    </xf>
    <xf numFmtId="0" fontId="23" fillId="0" borderId="0" xfId="0" applyFont="1" applyAlignment="1" applyProtection="1">
      <alignment horizontal="center" vertical="center" wrapText="1"/>
      <protection locked="0"/>
    </xf>
    <xf numFmtId="0" fontId="1" fillId="0" borderId="0" xfId="0" applyFont="1"/>
    <xf numFmtId="0" fontId="23" fillId="0" borderId="0" xfId="0" applyFont="1" applyAlignment="1" applyProtection="1">
      <alignment vertical="center" wrapText="1"/>
      <protection locked="0"/>
    </xf>
    <xf numFmtId="0" fontId="23" fillId="0" borderId="0" xfId="0" applyFont="1" applyAlignment="1">
      <alignment vertical="center" wrapText="1"/>
    </xf>
    <xf numFmtId="0" fontId="23" fillId="0" borderId="0" xfId="0" applyFont="1" applyAlignment="1">
      <alignment horizontal="center" vertical="center" wrapText="1"/>
    </xf>
    <xf numFmtId="0" fontId="30" fillId="2" borderId="0" xfId="3" applyFont="1" applyFill="1" applyBorder="1" applyAlignment="1">
      <alignment horizontal="center" vertical="center" wrapText="1"/>
    </xf>
    <xf numFmtId="0" fontId="20" fillId="0" borderId="133" xfId="0" applyFont="1" applyBorder="1" applyAlignment="1" applyProtection="1">
      <alignment horizontal="center" vertical="center" wrapText="1"/>
      <protection locked="0"/>
    </xf>
    <xf numFmtId="0" fontId="20" fillId="0" borderId="134" xfId="0" applyFont="1" applyBorder="1" applyAlignment="1" applyProtection="1">
      <alignment horizontal="center" vertical="center" wrapText="1"/>
      <protection locked="0"/>
    </xf>
    <xf numFmtId="0" fontId="20" fillId="0" borderId="134" xfId="0" applyFont="1" applyBorder="1" applyAlignment="1" applyProtection="1">
      <alignment vertical="center" wrapText="1"/>
      <protection locked="0"/>
    </xf>
    <xf numFmtId="0" fontId="20" fillId="0" borderId="135" xfId="0" applyFont="1" applyBorder="1" applyAlignment="1" applyProtection="1">
      <alignment vertical="center" wrapText="1"/>
      <protection locked="0"/>
    </xf>
    <xf numFmtId="0" fontId="20" fillId="0" borderId="135" xfId="0" applyFont="1" applyBorder="1" applyAlignment="1" applyProtection="1">
      <alignment horizontal="center" vertical="center" wrapText="1"/>
      <protection locked="0"/>
    </xf>
    <xf numFmtId="0" fontId="20" fillId="0" borderId="133" xfId="0" applyFont="1" applyBorder="1" applyAlignment="1" applyProtection="1">
      <alignment vertical="center" wrapText="1"/>
      <protection locked="0"/>
    </xf>
    <xf numFmtId="0" fontId="20" fillId="0" borderId="84" xfId="0" applyFont="1" applyBorder="1" applyAlignment="1" applyProtection="1">
      <alignment horizontal="center" vertical="center" wrapText="1"/>
      <protection locked="0"/>
    </xf>
    <xf numFmtId="0" fontId="20" fillId="0" borderId="79" xfId="0" applyFont="1" applyBorder="1" applyAlignment="1" applyProtection="1">
      <alignment horizontal="center" vertical="center" wrapText="1"/>
      <protection locked="0"/>
    </xf>
    <xf numFmtId="0" fontId="22" fillId="15" borderId="85" xfId="0" applyFont="1" applyFill="1" applyBorder="1" applyAlignment="1">
      <alignment horizontal="center" vertical="center" wrapText="1"/>
    </xf>
    <xf numFmtId="0" fontId="20" fillId="0" borderId="160" xfId="0" applyFont="1" applyBorder="1" applyAlignment="1">
      <alignment vertical="top" wrapText="1"/>
    </xf>
    <xf numFmtId="0" fontId="20" fillId="2" borderId="91" xfId="0" applyFont="1" applyFill="1" applyBorder="1" applyAlignment="1">
      <alignment horizontal="left" vertical="top" wrapText="1"/>
    </xf>
    <xf numFmtId="0" fontId="20" fillId="0" borderId="141" xfId="0" applyFont="1" applyBorder="1" applyAlignment="1">
      <alignment vertical="top" wrapText="1"/>
    </xf>
    <xf numFmtId="0" fontId="20" fillId="0" borderId="100" xfId="0" applyFont="1" applyBorder="1" applyAlignment="1">
      <alignment vertical="top" wrapText="1"/>
    </xf>
    <xf numFmtId="0" fontId="20" fillId="0" borderId="147" xfId="0" applyFont="1" applyBorder="1" applyAlignment="1">
      <alignment vertical="top" wrapText="1"/>
    </xf>
    <xf numFmtId="0" fontId="20" fillId="0" borderId="84" xfId="0" applyFont="1" applyBorder="1" applyAlignment="1">
      <alignment horizontal="left" vertical="top" wrapText="1"/>
    </xf>
    <xf numFmtId="164" fontId="20" fillId="0" borderId="79" xfId="0" applyNumberFormat="1" applyFont="1" applyBorder="1" applyAlignment="1">
      <alignment horizontal="left" vertical="top" wrapText="1"/>
    </xf>
    <xf numFmtId="164" fontId="20" fillId="2" borderId="80" xfId="0" applyNumberFormat="1" applyFont="1" applyFill="1" applyBorder="1" applyAlignment="1">
      <alignment horizontal="left" vertical="top" wrapText="1"/>
    </xf>
    <xf numFmtId="164" fontId="20" fillId="0" borderId="81" xfId="0" applyNumberFormat="1" applyFont="1" applyBorder="1" applyAlignment="1">
      <alignment horizontal="left" vertical="top" wrapText="1"/>
    </xf>
    <xf numFmtId="164" fontId="20" fillId="0" borderId="161" xfId="0" applyNumberFormat="1" applyFont="1" applyBorder="1" applyAlignment="1">
      <alignment horizontal="left" vertical="top" wrapText="1"/>
    </xf>
    <xf numFmtId="0" fontId="20" fillId="2" borderId="5" xfId="0" applyFont="1" applyFill="1" applyBorder="1" applyAlignment="1">
      <alignment vertical="top" wrapText="1"/>
    </xf>
    <xf numFmtId="0" fontId="21" fillId="2" borderId="0" xfId="0" applyFont="1" applyFill="1" applyAlignment="1">
      <alignment vertical="top" wrapText="1"/>
    </xf>
    <xf numFmtId="0" fontId="21" fillId="2" borderId="5" xfId="0" applyFont="1" applyFill="1" applyBorder="1" applyAlignment="1">
      <alignment vertical="top" wrapText="1"/>
    </xf>
    <xf numFmtId="0" fontId="27" fillId="0" borderId="137" xfId="0" applyFont="1" applyBorder="1" applyAlignment="1">
      <alignment horizontal="center" vertical="center" wrapText="1"/>
    </xf>
    <xf numFmtId="0" fontId="14" fillId="15" borderId="98" xfId="0" applyFont="1" applyFill="1" applyBorder="1" applyAlignment="1">
      <alignment vertical="center"/>
    </xf>
    <xf numFmtId="0" fontId="20" fillId="0" borderId="137" xfId="0" applyFont="1" applyBorder="1" applyAlignment="1" applyProtection="1">
      <alignment vertical="center" wrapText="1"/>
      <protection locked="0"/>
    </xf>
    <xf numFmtId="0" fontId="20" fillId="0" borderId="141" xfId="0" applyFont="1" applyBorder="1" applyAlignment="1">
      <alignment horizontal="left" vertical="top" wrapText="1"/>
    </xf>
    <xf numFmtId="164" fontId="20" fillId="0" borderId="80" xfId="0" applyNumberFormat="1" applyFont="1" applyBorder="1" applyAlignment="1">
      <alignment horizontal="left" vertical="top" wrapText="1"/>
    </xf>
    <xf numFmtId="0" fontId="0" fillId="0" borderId="144" xfId="0" applyBorder="1"/>
    <xf numFmtId="0" fontId="20" fillId="0" borderId="99" xfId="0" applyFont="1" applyBorder="1" applyAlignment="1">
      <alignment horizontal="left" vertical="top" wrapText="1"/>
    </xf>
    <xf numFmtId="0" fontId="27" fillId="0" borderId="138" xfId="0" applyFont="1" applyBorder="1" applyAlignment="1">
      <alignment horizontal="left" vertical="top" wrapText="1"/>
    </xf>
    <xf numFmtId="0" fontId="13" fillId="0" borderId="102" xfId="0" applyFont="1" applyBorder="1" applyAlignment="1">
      <alignment vertical="center" wrapText="1"/>
    </xf>
    <xf numFmtId="0" fontId="13" fillId="3" borderId="1" xfId="3" applyFont="1" applyAlignment="1">
      <alignment horizontal="center" vertical="center" wrapText="1"/>
    </xf>
    <xf numFmtId="0" fontId="20" fillId="2" borderId="0" xfId="0" applyFont="1" applyFill="1" applyAlignment="1">
      <alignment vertical="center" wrapText="1"/>
    </xf>
    <xf numFmtId="0" fontId="20" fillId="2" borderId="0" xfId="0" applyFont="1" applyFill="1" applyAlignment="1">
      <alignment vertical="center"/>
    </xf>
    <xf numFmtId="0" fontId="20" fillId="2" borderId="0" xfId="0" applyFont="1" applyFill="1" applyAlignment="1">
      <alignment horizontal="left" vertical="center"/>
    </xf>
    <xf numFmtId="0" fontId="27" fillId="2" borderId="8" xfId="0" applyFont="1" applyFill="1" applyBorder="1" applyAlignment="1">
      <alignment vertical="center" wrapText="1"/>
    </xf>
    <xf numFmtId="0" fontId="20" fillId="2" borderId="8" xfId="0" applyFont="1" applyFill="1" applyBorder="1" applyAlignment="1">
      <alignment vertical="center"/>
    </xf>
    <xf numFmtId="0" fontId="27" fillId="2" borderId="0" xfId="0" applyFont="1" applyFill="1" applyAlignment="1">
      <alignment vertical="center" wrapText="1"/>
    </xf>
    <xf numFmtId="0" fontId="31" fillId="2" borderId="0" xfId="0" applyFont="1" applyFill="1" applyAlignment="1">
      <alignment vertical="center" wrapText="1"/>
    </xf>
    <xf numFmtId="0" fontId="27" fillId="2" borderId="175" xfId="0" applyFont="1" applyFill="1" applyBorder="1" applyAlignment="1">
      <alignment vertical="center" wrapText="1"/>
    </xf>
    <xf numFmtId="0" fontId="21" fillId="2" borderId="0" xfId="0" applyFont="1" applyFill="1" applyAlignment="1">
      <alignment horizontal="left" vertical="center" wrapText="1"/>
    </xf>
    <xf numFmtId="0" fontId="20" fillId="2" borderId="0" xfId="0" applyFont="1" applyFill="1" applyAlignment="1">
      <alignment horizontal="left" vertical="center" wrapText="1"/>
    </xf>
    <xf numFmtId="0" fontId="20" fillId="2" borderId="175" xfId="0" applyFont="1" applyFill="1" applyBorder="1" applyAlignment="1">
      <alignment vertical="center"/>
    </xf>
    <xf numFmtId="0" fontId="62" fillId="2" borderId="0" xfId="0" applyFont="1" applyFill="1" applyAlignment="1">
      <alignment horizontal="left" vertical="center" wrapText="1"/>
    </xf>
    <xf numFmtId="0" fontId="70" fillId="2" borderId="0" xfId="0" applyFont="1" applyFill="1" applyAlignment="1">
      <alignment horizontal="left" vertical="center"/>
    </xf>
    <xf numFmtId="164" fontId="14" fillId="18" borderId="73" xfId="0" applyNumberFormat="1" applyFont="1" applyFill="1" applyBorder="1" applyAlignment="1">
      <alignment horizontal="center" vertical="center"/>
    </xf>
    <xf numFmtId="164" fontId="14" fillId="19" borderId="74" xfId="0" applyNumberFormat="1" applyFont="1" applyFill="1" applyBorder="1" applyAlignment="1">
      <alignment horizontal="center" vertical="center"/>
    </xf>
    <xf numFmtId="0" fontId="14" fillId="18" borderId="75" xfId="0" applyFont="1" applyFill="1" applyBorder="1" applyAlignment="1">
      <alignment horizontal="center" vertical="center"/>
    </xf>
    <xf numFmtId="1" fontId="22" fillId="19" borderId="73" xfId="0" applyNumberFormat="1" applyFont="1" applyFill="1" applyBorder="1" applyAlignment="1" applyProtection="1">
      <alignment horizontal="center" vertical="center"/>
      <protection locked="0"/>
    </xf>
    <xf numFmtId="1" fontId="22" fillId="19" borderId="180" xfId="0" applyNumberFormat="1" applyFont="1" applyFill="1" applyBorder="1" applyAlignment="1" applyProtection="1">
      <alignment horizontal="center" vertical="center"/>
      <protection locked="0"/>
    </xf>
    <xf numFmtId="0" fontId="14" fillId="18" borderId="179" xfId="0" applyFont="1" applyFill="1" applyBorder="1" applyAlignment="1">
      <alignment horizontal="center" vertical="center"/>
    </xf>
    <xf numFmtId="0" fontId="20" fillId="2" borderId="0" xfId="0" applyFont="1" applyFill="1" applyAlignment="1" applyProtection="1">
      <alignment horizontal="right"/>
      <protection locked="0"/>
    </xf>
    <xf numFmtId="0" fontId="19" fillId="2" borderId="35" xfId="0" applyFont="1" applyFill="1" applyBorder="1" applyAlignment="1">
      <alignment horizontal="center" vertical="center" wrapText="1"/>
    </xf>
    <xf numFmtId="0" fontId="13" fillId="2" borderId="20" xfId="0" applyFont="1" applyFill="1" applyBorder="1" applyAlignment="1">
      <alignment horizontal="center" vertical="center" wrapText="1"/>
    </xf>
    <xf numFmtId="0" fontId="16" fillId="3" borderId="9" xfId="3" applyFont="1" applyBorder="1" applyAlignment="1">
      <alignment horizontal="center" vertical="center" wrapText="1"/>
    </xf>
    <xf numFmtId="0" fontId="16" fillId="3" borderId="11" xfId="3" applyFont="1" applyBorder="1" applyAlignment="1">
      <alignment horizontal="center" vertical="center" wrapText="1"/>
    </xf>
    <xf numFmtId="0" fontId="19" fillId="2" borderId="0" xfId="0" applyFont="1" applyFill="1" applyAlignment="1">
      <alignment horizontal="left" vertical="top" wrapText="1"/>
    </xf>
    <xf numFmtId="0" fontId="21" fillId="2" borderId="0" xfId="0" applyFont="1" applyFill="1" applyAlignment="1">
      <alignment horizontal="center" vertical="center"/>
    </xf>
    <xf numFmtId="0" fontId="23" fillId="2" borderId="72" xfId="0" applyFont="1" applyFill="1" applyBorder="1" applyAlignment="1">
      <alignment horizontal="left" vertical="center" wrapText="1"/>
    </xf>
    <xf numFmtId="0" fontId="23" fillId="2" borderId="72" xfId="0" applyFont="1" applyFill="1" applyBorder="1" applyAlignment="1">
      <alignment horizontal="left" vertical="center"/>
    </xf>
    <xf numFmtId="0" fontId="23" fillId="2" borderId="72" xfId="0" applyFont="1" applyFill="1" applyBorder="1" applyAlignment="1">
      <alignment vertical="center"/>
    </xf>
    <xf numFmtId="0" fontId="14" fillId="18" borderId="72" xfId="0" applyFont="1" applyFill="1" applyBorder="1" applyAlignment="1">
      <alignment horizontal="center" vertical="center"/>
    </xf>
    <xf numFmtId="0" fontId="30" fillId="23" borderId="97" xfId="0" applyFont="1" applyFill="1" applyBorder="1" applyAlignment="1">
      <alignment horizontal="left" vertical="top" wrapText="1"/>
    </xf>
    <xf numFmtId="0" fontId="14" fillId="11" borderId="97" xfId="0" applyFont="1" applyFill="1" applyBorder="1" applyAlignment="1">
      <alignment horizontal="center" vertical="center"/>
    </xf>
    <xf numFmtId="0" fontId="23" fillId="2" borderId="62" xfId="0" applyFont="1" applyFill="1" applyBorder="1" applyAlignment="1">
      <alignment horizontal="center" vertical="center"/>
    </xf>
    <xf numFmtId="0" fontId="23" fillId="2" borderId="0" xfId="0" applyFont="1" applyFill="1" applyAlignment="1">
      <alignment horizontal="center" vertical="center"/>
    </xf>
    <xf numFmtId="0" fontId="22" fillId="0" borderId="72" xfId="0" applyFont="1" applyBorder="1" applyAlignment="1">
      <alignment horizontal="center" vertical="center" wrapText="1"/>
    </xf>
    <xf numFmtId="0" fontId="22" fillId="0" borderId="72" xfId="0" applyFont="1" applyBorder="1" applyAlignment="1">
      <alignment horizontal="center" vertical="center"/>
    </xf>
    <xf numFmtId="0" fontId="14" fillId="0" borderId="72" xfId="0" applyFont="1" applyBorder="1" applyAlignment="1">
      <alignment horizontal="center" vertical="center"/>
    </xf>
    <xf numFmtId="0" fontId="84" fillId="21" borderId="59" xfId="0" applyFont="1" applyFill="1" applyBorder="1" applyAlignment="1">
      <alignment horizontal="center" vertical="center"/>
    </xf>
    <xf numFmtId="0" fontId="84" fillId="21" borderId="60" xfId="0" applyFont="1" applyFill="1" applyBorder="1" applyAlignment="1">
      <alignment horizontal="center" vertical="center"/>
    </xf>
    <xf numFmtId="0" fontId="84" fillId="21" borderId="61" xfId="0" applyFont="1" applyFill="1" applyBorder="1" applyAlignment="1">
      <alignment horizontal="center" vertical="center"/>
    </xf>
    <xf numFmtId="0" fontId="84" fillId="21" borderId="62" xfId="0" applyFont="1" applyFill="1" applyBorder="1" applyAlignment="1">
      <alignment horizontal="center" vertical="center"/>
    </xf>
    <xf numFmtId="0" fontId="84" fillId="21" borderId="0" xfId="0" applyFont="1" applyFill="1" applyAlignment="1">
      <alignment horizontal="center" vertical="center"/>
    </xf>
    <xf numFmtId="0" fontId="84" fillId="21" borderId="63" xfId="0" applyFont="1" applyFill="1" applyBorder="1" applyAlignment="1">
      <alignment horizontal="center" vertical="center"/>
    </xf>
    <xf numFmtId="0" fontId="30" fillId="0" borderId="99" xfId="0" applyFont="1" applyBorder="1" applyAlignment="1">
      <alignment horizontal="left" vertical="center" wrapText="1"/>
    </xf>
    <xf numFmtId="0" fontId="30" fillId="0" borderId="100" xfId="0" applyFont="1" applyBorder="1" applyAlignment="1">
      <alignment horizontal="left" vertical="center" wrapText="1"/>
    </xf>
    <xf numFmtId="0" fontId="23" fillId="0" borderId="102" xfId="0" applyFont="1" applyBorder="1" applyAlignment="1">
      <alignment horizontal="left" vertical="center"/>
    </xf>
    <xf numFmtId="0" fontId="23" fillId="0" borderId="109" xfId="0" applyFont="1" applyBorder="1" applyAlignment="1">
      <alignment horizontal="left" vertical="center"/>
    </xf>
    <xf numFmtId="0" fontId="22" fillId="2" borderId="139" xfId="0" applyFont="1" applyFill="1" applyBorder="1" applyAlignment="1">
      <alignment horizontal="center" vertical="top" wrapText="1"/>
    </xf>
    <xf numFmtId="0" fontId="22" fillId="2" borderId="87" xfId="0" applyFont="1" applyFill="1" applyBorder="1" applyAlignment="1">
      <alignment horizontal="center" vertical="top" wrapText="1"/>
    </xf>
    <xf numFmtId="0" fontId="22" fillId="2" borderId="176" xfId="0" applyFont="1" applyFill="1" applyBorder="1" applyAlignment="1">
      <alignment horizontal="center" vertical="top" wrapText="1"/>
    </xf>
    <xf numFmtId="0" fontId="87" fillId="8" borderId="108" xfId="1" applyFont="1" applyFill="1" applyBorder="1" applyAlignment="1" applyProtection="1">
      <alignment horizontal="center" vertical="center" wrapText="1"/>
    </xf>
    <xf numFmtId="0" fontId="87" fillId="8" borderId="98" xfId="1" applyFont="1" applyFill="1" applyBorder="1" applyAlignment="1" applyProtection="1">
      <alignment horizontal="center" vertical="center" wrapText="1"/>
    </xf>
    <xf numFmtId="0" fontId="87" fillId="8" borderId="107" xfId="1" applyFont="1" applyFill="1" applyBorder="1" applyAlignment="1" applyProtection="1">
      <alignment horizontal="center" vertical="center" wrapText="1"/>
    </xf>
    <xf numFmtId="0" fontId="22" fillId="2" borderId="132" xfId="0" applyFont="1" applyFill="1" applyBorder="1" applyAlignment="1">
      <alignment horizontal="center" vertical="top" wrapText="1"/>
    </xf>
    <xf numFmtId="0" fontId="22" fillId="2" borderId="177" xfId="0" applyFont="1" applyFill="1" applyBorder="1" applyAlignment="1">
      <alignment horizontal="center" vertical="top" wrapText="1"/>
    </xf>
    <xf numFmtId="0" fontId="22" fillId="2" borderId="178" xfId="0" applyFont="1" applyFill="1" applyBorder="1" applyAlignment="1">
      <alignment horizontal="center" vertical="top" wrapText="1"/>
    </xf>
    <xf numFmtId="0" fontId="30" fillId="0" borderId="123" xfId="0" applyFont="1" applyBorder="1" applyAlignment="1">
      <alignment horizontal="left" vertical="center"/>
    </xf>
    <xf numFmtId="0" fontId="30" fillId="0" borderId="121" xfId="0" applyFont="1" applyBorder="1" applyAlignment="1">
      <alignment horizontal="left" vertical="center"/>
    </xf>
    <xf numFmtId="0" fontId="30" fillId="0" borderId="112" xfId="0" applyFont="1" applyBorder="1" applyAlignment="1">
      <alignment horizontal="left" vertical="center"/>
    </xf>
    <xf numFmtId="0" fontId="30" fillId="0" borderId="119" xfId="0" applyFont="1" applyBorder="1" applyAlignment="1">
      <alignment horizontal="left" vertical="center"/>
    </xf>
    <xf numFmtId="0" fontId="30" fillId="0" borderId="100" xfId="0" applyFont="1" applyBorder="1" applyAlignment="1">
      <alignment horizontal="left" vertical="center"/>
    </xf>
    <xf numFmtId="0" fontId="30" fillId="0" borderId="104" xfId="0" applyFont="1" applyBorder="1" applyAlignment="1">
      <alignment horizontal="left" vertical="center"/>
    </xf>
    <xf numFmtId="0" fontId="23" fillId="0" borderId="91" xfId="0" applyFont="1" applyBorder="1" applyAlignment="1">
      <alignment horizontal="left" vertical="center"/>
    </xf>
    <xf numFmtId="0" fontId="23" fillId="0" borderId="92" xfId="0" applyFont="1" applyBorder="1" applyAlignment="1">
      <alignment horizontal="left" vertical="center"/>
    </xf>
    <xf numFmtId="0" fontId="30" fillId="0" borderId="102" xfId="0" applyFont="1" applyBorder="1" applyAlignment="1">
      <alignment horizontal="left" vertical="center"/>
    </xf>
    <xf numFmtId="0" fontId="78" fillId="17" borderId="93" xfId="0" applyFont="1" applyFill="1" applyBorder="1" applyAlignment="1">
      <alignment horizontal="center" vertical="center" wrapText="1"/>
    </xf>
    <xf numFmtId="0" fontId="78" fillId="17" borderId="94" xfId="0" applyFont="1" applyFill="1" applyBorder="1" applyAlignment="1">
      <alignment horizontal="center" vertical="center" wrapText="1"/>
    </xf>
    <xf numFmtId="0" fontId="30" fillId="8" borderId="89" xfId="3" applyFont="1" applyFill="1" applyBorder="1" applyAlignment="1">
      <alignment horizontal="center" vertical="center" wrapText="1"/>
    </xf>
    <xf numFmtId="0" fontId="30" fillId="8" borderId="90" xfId="3" applyFont="1" applyFill="1" applyBorder="1" applyAlignment="1">
      <alignment horizontal="center" vertical="center" wrapText="1"/>
    </xf>
    <xf numFmtId="0" fontId="28" fillId="14" borderId="89" xfId="0" applyFont="1" applyFill="1" applyBorder="1" applyAlignment="1">
      <alignment horizontal="center" vertical="center" wrapText="1"/>
    </xf>
    <xf numFmtId="0" fontId="28" fillId="14" borderId="90" xfId="0" applyFont="1" applyFill="1" applyBorder="1" applyAlignment="1">
      <alignment horizontal="center" vertical="center" wrapText="1"/>
    </xf>
    <xf numFmtId="0" fontId="13" fillId="8" borderId="89" xfId="3" applyFont="1" applyFill="1" applyBorder="1" applyAlignment="1">
      <alignment horizontal="center" vertical="center" wrapText="1"/>
    </xf>
    <xf numFmtId="0" fontId="13" fillId="8" borderId="90" xfId="3" applyFont="1" applyFill="1" applyBorder="1" applyAlignment="1">
      <alignment horizontal="center" vertical="center" wrapText="1"/>
    </xf>
    <xf numFmtId="0" fontId="22" fillId="2" borderId="108" xfId="0" applyFont="1" applyFill="1" applyBorder="1" applyAlignment="1">
      <alignment horizontal="center" vertical="top" wrapText="1"/>
    </xf>
    <xf numFmtId="0" fontId="22" fillId="2" borderId="107" xfId="0" applyFont="1" applyFill="1" applyBorder="1" applyAlignment="1">
      <alignment horizontal="center" vertical="top" wrapText="1"/>
    </xf>
    <xf numFmtId="0" fontId="22" fillId="2" borderId="85" xfId="0" applyFont="1" applyFill="1" applyBorder="1" applyAlignment="1">
      <alignment horizontal="center" vertical="top" wrapText="1"/>
    </xf>
    <xf numFmtId="0" fontId="23" fillId="23" borderId="172" xfId="0" applyFont="1" applyFill="1" applyBorder="1" applyAlignment="1">
      <alignment horizontal="left" vertical="top" wrapText="1"/>
    </xf>
    <xf numFmtId="0" fontId="23" fillId="23" borderId="173" xfId="0" applyFont="1" applyFill="1" applyBorder="1" applyAlignment="1">
      <alignment horizontal="left" vertical="top" wrapText="1"/>
    </xf>
    <xf numFmtId="0" fontId="23" fillId="23" borderId="174" xfId="0" applyFont="1" applyFill="1" applyBorder="1" applyAlignment="1">
      <alignment horizontal="left" vertical="top" wrapText="1"/>
    </xf>
    <xf numFmtId="0" fontId="20" fillId="0" borderId="134" xfId="0" applyFont="1" applyBorder="1" applyAlignment="1" applyProtection="1">
      <alignment horizontal="center" vertical="center" wrapText="1"/>
      <protection locked="0"/>
    </xf>
    <xf numFmtId="0" fontId="27" fillId="2" borderId="0" xfId="0" applyFont="1" applyFill="1" applyAlignment="1">
      <alignment horizontal="center" vertical="center" wrapText="1"/>
    </xf>
    <xf numFmtId="0" fontId="20" fillId="0" borderId="114" xfId="0" applyFont="1" applyBorder="1" applyAlignment="1" applyProtection="1">
      <alignment horizontal="left" vertical="center" wrapText="1"/>
      <protection locked="0"/>
    </xf>
    <xf numFmtId="0" fontId="20" fillId="0" borderId="131" xfId="0" applyFont="1" applyBorder="1" applyAlignment="1" applyProtection="1">
      <alignment horizontal="left" vertical="center" wrapText="1"/>
      <protection locked="0"/>
    </xf>
    <xf numFmtId="0" fontId="20" fillId="0" borderId="112" xfId="0" applyFont="1" applyBorder="1" applyAlignment="1" applyProtection="1">
      <alignment horizontal="left" vertical="center" wrapText="1"/>
      <protection locked="0"/>
    </xf>
    <xf numFmtId="0" fontId="20" fillId="0" borderId="102" xfId="0" applyFont="1" applyBorder="1" applyAlignment="1" applyProtection="1">
      <alignment horizontal="left" vertical="center" wrapText="1"/>
      <protection locked="0"/>
    </xf>
    <xf numFmtId="0" fontId="13" fillId="0" borderId="102" xfId="0" applyFont="1" applyBorder="1" applyAlignment="1" applyProtection="1">
      <alignment horizontal="left" vertical="center" wrapText="1"/>
      <protection locked="0"/>
    </xf>
    <xf numFmtId="0" fontId="13" fillId="0" borderId="92" xfId="0" applyFont="1" applyBorder="1" applyAlignment="1" applyProtection="1">
      <alignment horizontal="left" vertical="center" wrapText="1"/>
      <protection locked="0"/>
    </xf>
    <xf numFmtId="0" fontId="20" fillId="0" borderId="110" xfId="0" applyFont="1" applyBorder="1" applyAlignment="1" applyProtection="1">
      <alignment horizontal="left" vertical="center" wrapText="1"/>
      <protection locked="0"/>
    </xf>
    <xf numFmtId="0" fontId="20" fillId="0" borderId="106" xfId="0" applyFont="1" applyBorder="1" applyAlignment="1" applyProtection="1">
      <alignment horizontal="left" vertical="center" wrapText="1"/>
      <protection locked="0"/>
    </xf>
    <xf numFmtId="0" fontId="13" fillId="0" borderId="114" xfId="0" applyFont="1" applyBorder="1" applyAlignment="1" applyProtection="1">
      <alignment horizontal="left" vertical="center" wrapText="1"/>
      <protection locked="0"/>
    </xf>
    <xf numFmtId="0" fontId="13" fillId="0" borderId="131" xfId="0" applyFont="1" applyBorder="1" applyAlignment="1" applyProtection="1">
      <alignment horizontal="left" vertical="center" wrapText="1"/>
      <protection locked="0"/>
    </xf>
    <xf numFmtId="0" fontId="13" fillId="0" borderId="138" xfId="0" applyFont="1" applyBorder="1" applyAlignment="1">
      <alignment horizontal="left" vertical="center" wrapText="1"/>
    </xf>
    <xf numFmtId="0" fontId="13" fillId="0" borderId="102" xfId="0" applyFont="1" applyBorder="1" applyAlignment="1">
      <alignment horizontal="left" vertical="center" wrapText="1"/>
    </xf>
    <xf numFmtId="0" fontId="23" fillId="0" borderId="79" xfId="0" applyFont="1" applyBorder="1" applyAlignment="1">
      <alignment horizontal="center" vertical="center" wrapText="1"/>
    </xf>
    <xf numFmtId="0" fontId="14" fillId="15" borderId="98" xfId="0" applyFont="1" applyFill="1" applyBorder="1" applyAlignment="1">
      <alignment horizontal="center" vertical="top" wrapText="1"/>
    </xf>
    <xf numFmtId="0" fontId="14" fillId="15" borderId="98" xfId="0" applyFont="1" applyFill="1" applyBorder="1" applyAlignment="1">
      <alignment horizontal="center" vertical="center"/>
    </xf>
    <xf numFmtId="0" fontId="14" fillId="15" borderId="108" xfId="0" applyFont="1" applyFill="1" applyBorder="1" applyAlignment="1">
      <alignment horizontal="center" vertical="top" wrapText="1"/>
    </xf>
    <xf numFmtId="0" fontId="20" fillId="0" borderId="138" xfId="0" applyFont="1" applyBorder="1" applyAlignment="1">
      <alignment horizontal="left" vertical="center" wrapText="1"/>
    </xf>
    <xf numFmtId="0" fontId="20" fillId="0" borderId="102" xfId="0" applyFont="1" applyBorder="1" applyAlignment="1">
      <alignment horizontal="left" vertical="center" wrapText="1"/>
    </xf>
    <xf numFmtId="0" fontId="14" fillId="15" borderId="107" xfId="0" applyFont="1" applyFill="1" applyBorder="1" applyAlignment="1">
      <alignment horizontal="center" vertical="center"/>
    </xf>
    <xf numFmtId="0" fontId="20" fillId="0" borderId="131" xfId="0" applyFont="1" applyBorder="1" applyAlignment="1">
      <alignment horizontal="left" vertical="center" wrapText="1"/>
    </xf>
    <xf numFmtId="0" fontId="20" fillId="0" borderId="88" xfId="0" applyFont="1" applyBorder="1" applyAlignment="1">
      <alignment horizontal="left" vertical="center" wrapText="1"/>
    </xf>
    <xf numFmtId="0" fontId="22" fillId="8" borderId="79" xfId="0" applyFont="1" applyFill="1" applyBorder="1" applyAlignment="1">
      <alignment horizontal="center" vertical="center" wrapText="1"/>
    </xf>
    <xf numFmtId="0" fontId="27" fillId="8" borderId="134" xfId="0" applyFont="1" applyFill="1" applyBorder="1" applyAlignment="1">
      <alignment horizontal="center" vertical="center" wrapText="1"/>
    </xf>
    <xf numFmtId="0" fontId="40" fillId="24" borderId="89" xfId="0" applyFont="1" applyFill="1" applyBorder="1" applyAlignment="1">
      <alignment horizontal="center" vertical="center"/>
    </xf>
    <xf numFmtId="0" fontId="40" fillId="24" borderId="86" xfId="0" applyFont="1" applyFill="1" applyBorder="1" applyAlignment="1">
      <alignment horizontal="center" vertical="center"/>
    </xf>
    <xf numFmtId="0" fontId="40" fillId="24" borderId="130" xfId="0" applyFont="1" applyFill="1" applyBorder="1" applyAlignment="1">
      <alignment horizontal="center" vertical="center"/>
    </xf>
    <xf numFmtId="0" fontId="40" fillId="24" borderId="132" xfId="0" applyFont="1" applyFill="1" applyBorder="1" applyAlignment="1">
      <alignment horizontal="center" vertical="center"/>
    </xf>
    <xf numFmtId="0" fontId="13" fillId="0" borderId="109" xfId="0" applyFont="1" applyBorder="1" applyAlignment="1">
      <alignment horizontal="left" vertical="center" wrapText="1"/>
    </xf>
    <xf numFmtId="0" fontId="13" fillId="0" borderId="92" xfId="0" applyFont="1" applyBorder="1" applyAlignment="1">
      <alignment horizontal="left" vertical="center" wrapText="1"/>
    </xf>
    <xf numFmtId="0" fontId="19" fillId="23" borderId="148" xfId="0" applyFont="1" applyFill="1" applyBorder="1" applyAlignment="1">
      <alignment horizontal="left" vertical="center" wrapText="1"/>
    </xf>
    <xf numFmtId="0" fontId="19" fillId="23" borderId="149" xfId="0" applyFont="1" applyFill="1" applyBorder="1" applyAlignment="1">
      <alignment horizontal="left" vertical="center" wrapText="1"/>
    </xf>
    <xf numFmtId="0" fontId="19" fillId="23" borderId="150" xfId="0" applyFont="1" applyFill="1" applyBorder="1" applyAlignment="1">
      <alignment horizontal="left" vertical="center" wrapText="1"/>
    </xf>
    <xf numFmtId="0" fontId="19" fillId="23" borderId="151" xfId="0" applyFont="1" applyFill="1" applyBorder="1" applyAlignment="1">
      <alignment horizontal="left" vertical="center" wrapText="1"/>
    </xf>
    <xf numFmtId="0" fontId="19" fillId="23" borderId="0" xfId="0" applyFont="1" applyFill="1" applyAlignment="1">
      <alignment horizontal="left" vertical="center" wrapText="1"/>
    </xf>
    <xf numFmtId="0" fontId="19" fillId="23" borderId="152" xfId="0" applyFont="1" applyFill="1" applyBorder="1" applyAlignment="1">
      <alignment horizontal="left" vertical="center" wrapText="1"/>
    </xf>
    <xf numFmtId="0" fontId="19" fillId="23" borderId="153" xfId="0" applyFont="1" applyFill="1" applyBorder="1" applyAlignment="1">
      <alignment horizontal="left" vertical="center" wrapText="1"/>
    </xf>
    <xf numFmtId="0" fontId="19" fillId="23" borderId="154" xfId="0" applyFont="1" applyFill="1" applyBorder="1" applyAlignment="1">
      <alignment horizontal="left" vertical="center" wrapText="1"/>
    </xf>
    <xf numFmtId="0" fontId="19" fillId="23" borderId="155" xfId="0" applyFont="1" applyFill="1" applyBorder="1" applyAlignment="1">
      <alignment horizontal="left" vertical="center" wrapText="1"/>
    </xf>
    <xf numFmtId="0" fontId="13" fillId="3" borderId="18" xfId="3" applyFont="1" applyBorder="1" applyAlignment="1">
      <alignment horizontal="center" vertical="center" wrapText="1"/>
    </xf>
    <xf numFmtId="0" fontId="13" fillId="3" borderId="19" xfId="3" applyFont="1" applyBorder="1" applyAlignment="1">
      <alignment horizontal="center" vertical="center" wrapText="1"/>
    </xf>
    <xf numFmtId="0" fontId="72" fillId="2" borderId="0" xfId="0" applyFont="1" applyFill="1" applyAlignment="1">
      <alignment horizontal="left" wrapText="1"/>
    </xf>
    <xf numFmtId="0" fontId="15" fillId="14" borderId="80" xfId="0" applyFont="1" applyFill="1" applyBorder="1" applyAlignment="1">
      <alignment horizontal="left" vertical="center" wrapText="1"/>
    </xf>
    <xf numFmtId="0" fontId="15" fillId="14" borderId="84" xfId="0" applyFont="1" applyFill="1" applyBorder="1" applyAlignment="1">
      <alignment horizontal="left" vertical="center" wrapText="1"/>
    </xf>
    <xf numFmtId="0" fontId="15" fillId="14" borderId="80" xfId="0" applyFont="1" applyFill="1" applyBorder="1" applyAlignment="1">
      <alignment horizontal="center" vertical="center" wrapText="1"/>
    </xf>
    <xf numFmtId="0" fontId="15" fillId="14" borderId="84" xfId="0" applyFont="1" applyFill="1" applyBorder="1" applyAlignment="1">
      <alignment horizontal="center" vertical="center" wrapText="1"/>
    </xf>
    <xf numFmtId="0" fontId="28" fillId="2" borderId="0" xfId="0" applyFont="1" applyFill="1" applyAlignment="1">
      <alignment horizontal="center" vertical="center"/>
    </xf>
    <xf numFmtId="0" fontId="15" fillId="2" borderId="0" xfId="0" applyFont="1" applyFill="1" applyAlignment="1">
      <alignment horizontal="left" vertical="top"/>
    </xf>
    <xf numFmtId="0" fontId="13" fillId="2" borderId="0" xfId="0" applyFont="1" applyFill="1" applyAlignment="1">
      <alignment horizontal="left" vertical="top"/>
    </xf>
    <xf numFmtId="0" fontId="26" fillId="24" borderId="140" xfId="0" applyFont="1" applyFill="1" applyBorder="1" applyAlignment="1">
      <alignment horizontal="center" vertical="center" wrapText="1"/>
    </xf>
    <xf numFmtId="0" fontId="26" fillId="24" borderId="142" xfId="0" applyFont="1" applyFill="1" applyBorder="1" applyAlignment="1">
      <alignment horizontal="center" vertical="center" wrapText="1"/>
    </xf>
    <xf numFmtId="2" fontId="26" fillId="24" borderId="141" xfId="0" applyNumberFormat="1" applyFont="1" applyFill="1" applyBorder="1" applyAlignment="1">
      <alignment horizontal="center" vertical="center"/>
    </xf>
    <xf numFmtId="2" fontId="26" fillId="24" borderId="143" xfId="0" applyNumberFormat="1" applyFont="1" applyFill="1" applyBorder="1" applyAlignment="1">
      <alignment horizontal="center" vertical="center"/>
    </xf>
    <xf numFmtId="0" fontId="14" fillId="15" borderId="144" xfId="0" applyFont="1" applyFill="1" applyBorder="1" applyAlignment="1">
      <alignment horizontal="center" vertical="center" wrapText="1"/>
    </xf>
    <xf numFmtId="0" fontId="14" fillId="15" borderId="146" xfId="0" applyFont="1" applyFill="1" applyBorder="1" applyAlignment="1">
      <alignment horizontal="center" vertical="center" wrapText="1"/>
    </xf>
    <xf numFmtId="164" fontId="14" fillId="15" borderId="145" xfId="0" applyNumberFormat="1" applyFont="1" applyFill="1" applyBorder="1" applyAlignment="1">
      <alignment horizontal="center" vertical="center" wrapText="1"/>
    </xf>
    <xf numFmtId="164" fontId="14" fillId="15" borderId="147" xfId="0" applyNumberFormat="1" applyFont="1" applyFill="1" applyBorder="1" applyAlignment="1">
      <alignment horizontal="center" vertical="center" wrapText="1"/>
    </xf>
    <xf numFmtId="0" fontId="23" fillId="10" borderId="144" xfId="0" applyFont="1" applyFill="1" applyBorder="1" applyAlignment="1">
      <alignment horizontal="center" vertical="center" wrapText="1"/>
    </xf>
    <xf numFmtId="0" fontId="23" fillId="10" borderId="145" xfId="0" applyFont="1" applyFill="1" applyBorder="1" applyAlignment="1">
      <alignment horizontal="center" vertical="center" wrapText="1"/>
    </xf>
    <xf numFmtId="0" fontId="23" fillId="10" borderId="146" xfId="0" applyFont="1" applyFill="1" applyBorder="1" applyAlignment="1">
      <alignment horizontal="center" vertical="center" wrapText="1"/>
    </xf>
    <xf numFmtId="0" fontId="23" fillId="10" borderId="147" xfId="0" applyFont="1" applyFill="1" applyBorder="1" applyAlignment="1">
      <alignment horizontal="center" vertical="center" wrapText="1"/>
    </xf>
    <xf numFmtId="0" fontId="19" fillId="14" borderId="140" xfId="0" applyFont="1" applyFill="1" applyBorder="1" applyAlignment="1" applyProtection="1">
      <alignment horizontal="center" vertical="top" wrapText="1"/>
      <protection locked="0"/>
    </xf>
    <xf numFmtId="0" fontId="19" fillId="14" borderId="109" xfId="0" applyFont="1" applyFill="1" applyBorder="1" applyAlignment="1" applyProtection="1">
      <alignment horizontal="center" vertical="top" wrapText="1"/>
      <protection locked="0"/>
    </xf>
    <xf numFmtId="0" fontId="19" fillId="14" borderId="141" xfId="0" applyFont="1" applyFill="1" applyBorder="1" applyAlignment="1" applyProtection="1">
      <alignment horizontal="center" vertical="top" wrapText="1"/>
      <protection locked="0"/>
    </xf>
    <xf numFmtId="0" fontId="19" fillId="14" borderId="146" xfId="0" applyFont="1" applyFill="1" applyBorder="1" applyAlignment="1" applyProtection="1">
      <alignment horizontal="center" vertical="top" wrapText="1"/>
      <protection locked="0"/>
    </xf>
    <xf numFmtId="0" fontId="19" fillId="14" borderId="138" xfId="0" applyFont="1" applyFill="1" applyBorder="1" applyAlignment="1" applyProtection="1">
      <alignment horizontal="center" vertical="top" wrapText="1"/>
      <protection locked="0"/>
    </xf>
    <xf numFmtId="0" fontId="19" fillId="14" borderId="147" xfId="0" applyFont="1" applyFill="1" applyBorder="1" applyAlignment="1" applyProtection="1">
      <alignment horizontal="center" vertical="top" wrapText="1"/>
      <protection locked="0"/>
    </xf>
    <xf numFmtId="0" fontId="27" fillId="2" borderId="109" xfId="0" applyFont="1" applyFill="1" applyBorder="1" applyAlignment="1">
      <alignment horizontal="left"/>
    </xf>
    <xf numFmtId="0" fontId="26" fillId="24" borderId="141" xfId="0" applyFont="1" applyFill="1" applyBorder="1" applyAlignment="1">
      <alignment horizontal="center" vertical="center" wrapText="1"/>
    </xf>
    <xf numFmtId="0" fontId="26" fillId="24" borderId="143" xfId="0" applyFont="1" applyFill="1" applyBorder="1" applyAlignment="1">
      <alignment horizontal="center" vertical="center" wrapText="1"/>
    </xf>
    <xf numFmtId="0" fontId="18" fillId="17" borderId="95" xfId="0" applyFont="1" applyFill="1" applyBorder="1" applyAlignment="1">
      <alignment horizontal="center" vertical="center" wrapText="1"/>
    </xf>
    <xf numFmtId="0" fontId="18" fillId="17" borderId="94" xfId="0" applyFont="1" applyFill="1" applyBorder="1" applyAlignment="1">
      <alignment horizontal="center" vertical="center" wrapText="1"/>
    </xf>
    <xf numFmtId="0" fontId="21" fillId="8" borderId="9" xfId="0" applyFont="1" applyFill="1" applyBorder="1" applyAlignment="1">
      <alignment horizontal="center" vertical="center" wrapText="1"/>
    </xf>
    <xf numFmtId="0" fontId="21" fillId="8" borderId="10" xfId="0" applyFont="1" applyFill="1" applyBorder="1" applyAlignment="1">
      <alignment horizontal="center" vertical="center" wrapText="1"/>
    </xf>
    <xf numFmtId="0" fontId="21" fillId="8" borderId="11" xfId="0" applyFont="1" applyFill="1" applyBorder="1" applyAlignment="1">
      <alignment horizontal="center" vertical="center" wrapText="1"/>
    </xf>
    <xf numFmtId="0" fontId="21" fillId="8" borderId="15" xfId="0" applyFont="1" applyFill="1" applyBorder="1" applyAlignment="1">
      <alignment horizontal="center" vertical="center" wrapText="1"/>
    </xf>
    <xf numFmtId="0" fontId="21" fillId="8" borderId="16" xfId="0" applyFont="1" applyFill="1" applyBorder="1" applyAlignment="1">
      <alignment horizontal="center" vertical="center" wrapText="1"/>
    </xf>
    <xf numFmtId="0" fontId="21" fillId="8" borderId="17" xfId="0" applyFont="1" applyFill="1" applyBorder="1" applyAlignment="1">
      <alignment horizontal="center" vertical="center" wrapText="1"/>
    </xf>
    <xf numFmtId="0" fontId="28" fillId="14" borderId="91" xfId="0" applyFont="1" applyFill="1" applyBorder="1" applyAlignment="1">
      <alignment horizontal="center" vertical="center" wrapText="1"/>
    </xf>
    <xf numFmtId="0" fontId="28" fillId="14" borderId="162" xfId="0" applyFont="1" applyFill="1" applyBorder="1" applyAlignment="1">
      <alignment horizontal="center" vertical="center" wrapText="1"/>
    </xf>
    <xf numFmtId="0" fontId="28" fillId="14" borderId="163" xfId="0" applyFont="1" applyFill="1" applyBorder="1" applyAlignment="1">
      <alignment horizontal="center" vertical="center" wrapText="1"/>
    </xf>
    <xf numFmtId="0" fontId="35" fillId="14" borderId="30" xfId="0" applyFont="1" applyFill="1" applyBorder="1" applyAlignment="1">
      <alignment horizontal="center" vertical="center" wrapText="1"/>
    </xf>
    <xf numFmtId="0" fontId="35" fillId="14" borderId="22" xfId="0" applyFont="1" applyFill="1" applyBorder="1" applyAlignment="1">
      <alignment horizontal="center" vertical="center" wrapText="1"/>
    </xf>
    <xf numFmtId="0" fontId="35" fillId="14" borderId="37" xfId="0" applyFont="1" applyFill="1" applyBorder="1" applyAlignment="1">
      <alignment horizontal="center" vertical="center" wrapText="1"/>
    </xf>
    <xf numFmtId="0" fontId="27" fillId="0" borderId="0" xfId="0" applyFont="1" applyAlignment="1">
      <alignment horizontal="left" vertical="center" wrapText="1"/>
    </xf>
    <xf numFmtId="0" fontId="14" fillId="9" borderId="89" xfId="0" applyFont="1" applyFill="1" applyBorder="1" applyAlignment="1">
      <alignment horizontal="center" vertical="center"/>
    </xf>
    <xf numFmtId="0" fontId="14" fillId="9" borderId="130" xfId="0" applyFont="1" applyFill="1" applyBorder="1" applyAlignment="1">
      <alignment horizontal="center" vertical="center"/>
    </xf>
    <xf numFmtId="0" fontId="14" fillId="9" borderId="90" xfId="0" applyFont="1" applyFill="1" applyBorder="1" applyAlignment="1">
      <alignment horizontal="center" vertical="center"/>
    </xf>
    <xf numFmtId="0" fontId="14" fillId="9" borderId="87" xfId="0" applyFont="1" applyFill="1" applyBorder="1" applyAlignment="1">
      <alignment horizontal="center" vertical="center"/>
    </xf>
    <xf numFmtId="0" fontId="22" fillId="15" borderId="108" xfId="0" applyFont="1" applyFill="1" applyBorder="1" applyAlignment="1">
      <alignment horizontal="center" vertical="center" wrapText="1"/>
    </xf>
    <xf numFmtId="0" fontId="22" fillId="15" borderId="98" xfId="0" applyFont="1" applyFill="1" applyBorder="1" applyAlignment="1">
      <alignment horizontal="center" vertical="center" wrapText="1"/>
    </xf>
    <xf numFmtId="0" fontId="22" fillId="15" borderId="107" xfId="0" applyFont="1" applyFill="1" applyBorder="1" applyAlignment="1">
      <alignment horizontal="center" vertical="center" wrapText="1"/>
    </xf>
    <xf numFmtId="0" fontId="20" fillId="0" borderId="159" xfId="0" applyFont="1" applyBorder="1" applyAlignment="1">
      <alignment horizontal="left" vertical="top" wrapText="1"/>
    </xf>
    <xf numFmtId="0" fontId="20" fillId="0" borderId="181" xfId="0" applyFont="1" applyBorder="1" applyAlignment="1">
      <alignment horizontal="left" vertical="top" wrapText="1"/>
    </xf>
    <xf numFmtId="164" fontId="20" fillId="0" borderId="80" xfId="0" applyNumberFormat="1" applyFont="1" applyBorder="1" applyAlignment="1">
      <alignment horizontal="left" vertical="top" wrapText="1"/>
    </xf>
    <xf numFmtId="164" fontId="20" fillId="0" borderId="81" xfId="0" applyNumberFormat="1" applyFont="1" applyBorder="1" applyAlignment="1">
      <alignment horizontal="left" vertical="top" wrapText="1"/>
    </xf>
    <xf numFmtId="0" fontId="21" fillId="15" borderId="169" xfId="0" applyFont="1" applyFill="1" applyBorder="1" applyAlignment="1">
      <alignment horizontal="center" vertical="center" wrapText="1"/>
    </xf>
    <xf numFmtId="0" fontId="21" fillId="15" borderId="170" xfId="0" applyFont="1" applyFill="1" applyBorder="1" applyAlignment="1">
      <alignment horizontal="center" vertical="center" wrapText="1"/>
    </xf>
    <xf numFmtId="0" fontId="21" fillId="15" borderId="108" xfId="0" applyFont="1" applyFill="1" applyBorder="1" applyAlignment="1">
      <alignment horizontal="center" vertical="center" wrapText="1"/>
    </xf>
    <xf numFmtId="0" fontId="21" fillId="15" borderId="98" xfId="0" applyFont="1" applyFill="1" applyBorder="1" applyAlignment="1">
      <alignment horizontal="center" vertical="center" wrapText="1"/>
    </xf>
    <xf numFmtId="0" fontId="21" fillId="15" borderId="107" xfId="0" applyFont="1" applyFill="1" applyBorder="1" applyAlignment="1">
      <alignment horizontal="center" vertical="center" wrapText="1"/>
    </xf>
    <xf numFmtId="164" fontId="15" fillId="2" borderId="0" xfId="0" applyNumberFormat="1" applyFont="1" applyFill="1" applyAlignment="1">
      <alignment horizontal="right" vertical="center" wrapText="1"/>
    </xf>
    <xf numFmtId="0" fontId="50" fillId="2" borderId="0" xfId="0" applyFont="1" applyFill="1" applyAlignment="1">
      <alignment horizontal="left" vertical="center" wrapText="1"/>
    </xf>
    <xf numFmtId="0" fontId="21" fillId="15" borderId="139" xfId="0" applyFont="1" applyFill="1" applyBorder="1" applyAlignment="1">
      <alignment horizontal="center" vertical="center" wrapText="1"/>
    </xf>
    <xf numFmtId="0" fontId="21" fillId="15" borderId="87" xfId="0" applyFont="1" applyFill="1" applyBorder="1" applyAlignment="1">
      <alignment horizontal="center" vertical="center" wrapText="1"/>
    </xf>
    <xf numFmtId="0" fontId="15" fillId="2" borderId="0" xfId="0" applyFont="1" applyFill="1" applyAlignment="1">
      <alignment horizontal="left" vertical="center" wrapText="1"/>
    </xf>
    <xf numFmtId="0" fontId="28" fillId="9" borderId="133" xfId="0" applyFont="1" applyFill="1" applyBorder="1" applyAlignment="1">
      <alignment horizontal="center" vertical="center" wrapText="1"/>
    </xf>
    <xf numFmtId="0" fontId="28" fillId="9" borderId="134" xfId="0" applyFont="1" applyFill="1" applyBorder="1" applyAlignment="1">
      <alignment horizontal="center" vertical="center" wrapText="1"/>
    </xf>
    <xf numFmtId="0" fontId="35" fillId="9" borderId="167" xfId="0" applyFont="1" applyFill="1" applyBorder="1" applyAlignment="1">
      <alignment horizontal="center" vertical="center" wrapText="1"/>
    </xf>
    <xf numFmtId="0" fontId="35" fillId="9" borderId="171" xfId="0" applyFont="1" applyFill="1" applyBorder="1" applyAlignment="1">
      <alignment horizontal="center" vertical="center" wrapText="1"/>
    </xf>
    <xf numFmtId="0" fontId="28" fillId="2" borderId="0" xfId="0" applyFont="1" applyFill="1" applyAlignment="1">
      <alignment horizontal="center" wrapText="1"/>
    </xf>
    <xf numFmtId="0" fontId="15" fillId="2" borderId="0" xfId="0" applyFont="1" applyFill="1" applyAlignment="1">
      <alignment horizontal="center" vertical="center"/>
    </xf>
    <xf numFmtId="2" fontId="15" fillId="2" borderId="0" xfId="0" applyNumberFormat="1" applyFont="1" applyFill="1" applyAlignment="1">
      <alignment horizontal="center" vertical="center"/>
    </xf>
    <xf numFmtId="164" fontId="18" fillId="0" borderId="156" xfId="0" applyNumberFormat="1" applyFont="1" applyFill="1" applyBorder="1" applyAlignment="1">
      <alignment horizontal="center" vertical="center" wrapText="1"/>
    </xf>
  </cellXfs>
  <cellStyles count="4">
    <cellStyle name="Hyperlinkki" xfId="1" builtinId="8"/>
    <cellStyle name="Linkkinappula" xfId="3" xr:uid="{F9BB00F5-1E95-6548-856E-E716ADB44BC9}"/>
    <cellStyle name="Normaali" xfId="0" builtinId="0"/>
    <cellStyle name="Selittävä teksti" xfId="2" builtinId="53"/>
  </cellStyles>
  <dxfs count="20">
    <dxf>
      <font>
        <strike val="0"/>
        <color rgb="FFFF0000"/>
      </font>
      <fill>
        <patternFill>
          <bgColor rgb="FFFFFF00"/>
        </patternFill>
      </fill>
    </dxf>
    <dxf>
      <font>
        <color rgb="FFFF0000"/>
      </font>
      <fill>
        <patternFill>
          <bgColor rgb="FFFFFC84"/>
        </patternFill>
      </fill>
    </dxf>
    <dxf>
      <font>
        <strike val="0"/>
        <color auto="1"/>
      </font>
      <numFmt numFmtId="166" formatCode="&quot;ei elementtiä&quot;"/>
      <fill>
        <patternFill patternType="solid">
          <fgColor auto="1"/>
          <bgColor auto="1"/>
        </patternFill>
      </fill>
    </dxf>
    <dxf>
      <font>
        <strike val="0"/>
        <color rgb="FFFF0000"/>
      </font>
      <fill>
        <patternFill>
          <bgColor rgb="FFFFFF00"/>
        </patternFill>
      </fill>
    </dxf>
    <dxf>
      <fill>
        <patternFill>
          <bgColor rgb="FFEFF1F5"/>
        </patternFill>
      </fill>
    </dxf>
    <dxf>
      <font>
        <color rgb="FFFF0000"/>
      </font>
      <fill>
        <patternFill>
          <bgColor rgb="FFFFFF00"/>
        </patternFill>
      </fill>
    </dxf>
    <dxf>
      <fill>
        <patternFill>
          <bgColor theme="5" tint="0.39994506668294322"/>
        </patternFill>
      </fill>
    </dxf>
    <dxf>
      <fill>
        <patternFill>
          <bgColor rgb="FFE0F1E8"/>
        </patternFill>
      </fill>
    </dxf>
    <dxf>
      <fill>
        <patternFill>
          <bgColor rgb="FFC2E4D2"/>
        </patternFill>
      </fill>
    </dxf>
    <dxf>
      <fill>
        <patternFill>
          <bgColor rgb="FFFEE0C3"/>
        </patternFill>
      </fill>
    </dxf>
    <dxf>
      <numFmt numFmtId="167" formatCode="General\ &quot; is below target level!&quot;"/>
    </dxf>
    <dxf>
      <numFmt numFmtId="167" formatCode="General\ &quot; is below target level!&quot;"/>
    </dxf>
    <dxf>
      <font>
        <strike val="0"/>
        <color rgb="FFFF0000"/>
      </font>
      <fill>
        <patternFill>
          <bgColor rgb="FFFFFF00"/>
        </patternFill>
      </fill>
    </dxf>
    <dxf>
      <font>
        <color rgb="FF006100"/>
      </font>
      <fill>
        <patternFill>
          <bgColor rgb="FFC6EFCE"/>
        </patternFill>
      </fill>
    </dxf>
    <dxf>
      <font>
        <color rgb="FF9C0006"/>
      </font>
      <fill>
        <patternFill>
          <bgColor rgb="FFFFC7CE"/>
        </patternFill>
      </fill>
    </dxf>
    <dxf>
      <font>
        <strike val="0"/>
        <color rgb="FFFF0000"/>
      </font>
      <fill>
        <patternFill>
          <bgColor rgb="FFFFFF00"/>
        </patternFill>
      </fill>
    </dxf>
    <dxf>
      <fill>
        <patternFill>
          <bgColor rgb="FFFFC386"/>
        </patternFill>
      </fill>
    </dxf>
    <dxf>
      <font>
        <strike val="0"/>
      </font>
      <fill>
        <patternFill>
          <bgColor rgb="FFFEE0C3"/>
        </patternFill>
      </fill>
    </dxf>
    <dxf>
      <fill>
        <patternFill>
          <bgColor rgb="FFE0F1E8"/>
        </patternFill>
      </fill>
    </dxf>
    <dxf>
      <font>
        <strike val="0"/>
        <color auto="1"/>
      </font>
      <fill>
        <patternFill>
          <bgColor rgb="FFC2E4D2"/>
        </patternFill>
      </fill>
    </dxf>
  </dxfs>
  <tableStyles count="0" defaultTableStyle="TableStyleMedium2" defaultPivotStyle="PivotStyleLight16"/>
  <colors>
    <mruColors>
      <color rgb="FFFFA58E"/>
      <color rgb="FFD88C78"/>
      <color rgb="FF69C4A3"/>
      <color rgb="FFDEF0E9"/>
      <color rgb="FFE2EDF3"/>
      <color rgb="FFA6D9C4"/>
      <color rgb="FF7EBBD6"/>
      <color rgb="FFFED75D"/>
      <color rgb="FFAFD2E3"/>
      <color rgb="FFFFF4D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100"/>
            </a:pPr>
            <a:r>
              <a:rPr lang="fi-FI" sz="1100">
                <a:latin typeface="Arial" panose="020B0604020202020204" pitchFamily="34" charset="0"/>
                <a:cs typeface="Arial" panose="020B0604020202020204" pitchFamily="34" charset="0"/>
              </a:rPr>
              <a:t>Osuus viherkertoimen</a:t>
            </a:r>
            <a:r>
              <a:rPr lang="fi-FI" sz="1100" baseline="0">
                <a:latin typeface="Arial" panose="020B0604020202020204" pitchFamily="34" charset="0"/>
                <a:cs typeface="Arial" panose="020B0604020202020204" pitchFamily="34" charset="0"/>
              </a:rPr>
              <a:t> </a:t>
            </a:r>
            <a:r>
              <a:rPr lang="fi-FI" sz="1100">
                <a:latin typeface="Arial" panose="020B0604020202020204" pitchFamily="34" charset="0"/>
                <a:cs typeface="Arial" panose="020B0604020202020204" pitchFamily="34" charset="0"/>
              </a:rPr>
              <a:t>painotetusta</a:t>
            </a:r>
            <a:r>
              <a:rPr lang="fi-FI" sz="1100" baseline="0">
                <a:latin typeface="Arial" panose="020B0604020202020204" pitchFamily="34" charset="0"/>
                <a:cs typeface="Arial" panose="020B0604020202020204" pitchFamily="34" charset="0"/>
              </a:rPr>
              <a:t> </a:t>
            </a:r>
          </a:p>
          <a:p>
            <a:pPr>
              <a:defRPr sz="1100"/>
            </a:pPr>
            <a:r>
              <a:rPr lang="fi-FI" sz="1100">
                <a:latin typeface="Arial" panose="020B0604020202020204" pitchFamily="34" charset="0"/>
                <a:cs typeface="Arial" panose="020B0604020202020204" pitchFamily="34" charset="0"/>
              </a:rPr>
              <a:t>kokonaispinta-alasta, %</a:t>
            </a:r>
          </a:p>
        </c:rich>
      </c:tx>
      <c:layout>
        <c:manualLayout>
          <c:xMode val="edge"/>
          <c:yMode val="edge"/>
          <c:x val="0.24767027179468265"/>
          <c:y val="6.7351710385890025E-3"/>
        </c:manualLayout>
      </c:layout>
      <c:overlay val="1"/>
    </c:title>
    <c:autoTitleDeleted val="0"/>
    <c:plotArea>
      <c:layout>
        <c:manualLayout>
          <c:layoutTarget val="inner"/>
          <c:xMode val="edge"/>
          <c:yMode val="edge"/>
          <c:x val="7.4433334049694114E-2"/>
          <c:y val="0.22173404648865552"/>
          <c:w val="0.34408983588888853"/>
          <c:h val="0.77826595351134464"/>
        </c:manualLayout>
      </c:layout>
      <c:pieChart>
        <c:varyColors val="1"/>
        <c:ser>
          <c:idx val="0"/>
          <c:order val="0"/>
          <c:dPt>
            <c:idx val="0"/>
            <c:bubble3D val="0"/>
            <c:spPr>
              <a:solidFill>
                <a:srgbClr val="9ABF83"/>
              </a:solidFill>
            </c:spPr>
            <c:extLst>
              <c:ext xmlns:c16="http://schemas.microsoft.com/office/drawing/2014/chart" uri="{C3380CC4-5D6E-409C-BE32-E72D297353CC}">
                <c16:uniqueId val="{00000001-6C67-4236-8249-338D291D01CE}"/>
              </c:ext>
            </c:extLst>
          </c:dPt>
          <c:dPt>
            <c:idx val="1"/>
            <c:bubble3D val="0"/>
            <c:spPr>
              <a:solidFill>
                <a:srgbClr val="FFBF0E"/>
              </a:solidFill>
            </c:spPr>
            <c:extLst>
              <c:ext xmlns:c16="http://schemas.microsoft.com/office/drawing/2014/chart" uri="{C3380CC4-5D6E-409C-BE32-E72D297353CC}">
                <c16:uniqueId val="{00000002-6C67-4236-8249-338D291D01CE}"/>
              </c:ext>
            </c:extLst>
          </c:dPt>
          <c:dPt>
            <c:idx val="2"/>
            <c:bubble3D val="0"/>
            <c:spPr>
              <a:solidFill>
                <a:schemeClr val="bg1">
                  <a:lumMod val="75000"/>
                </a:schemeClr>
              </a:solidFill>
            </c:spPr>
            <c:extLst>
              <c:ext xmlns:c16="http://schemas.microsoft.com/office/drawing/2014/chart" uri="{C3380CC4-5D6E-409C-BE32-E72D297353CC}">
                <c16:uniqueId val="{00000003-6C67-4236-8249-338D291D01CE}"/>
              </c:ext>
            </c:extLst>
          </c:dPt>
          <c:dPt>
            <c:idx val="3"/>
            <c:bubble3D val="0"/>
            <c:spPr>
              <a:solidFill>
                <a:schemeClr val="accent1"/>
              </a:solidFill>
            </c:spPr>
            <c:extLst>
              <c:ext xmlns:c16="http://schemas.microsoft.com/office/drawing/2014/chart" uri="{C3380CC4-5D6E-409C-BE32-E72D297353CC}">
                <c16:uniqueId val="{00000004-6C67-4236-8249-338D291D01CE}"/>
              </c:ext>
            </c:extLst>
          </c:dPt>
          <c:dPt>
            <c:idx val="4"/>
            <c:bubble3D val="0"/>
            <c:spPr>
              <a:solidFill>
                <a:srgbClr val="FFFC84"/>
              </a:solidFill>
            </c:spPr>
            <c:extLst>
              <c:ext xmlns:c16="http://schemas.microsoft.com/office/drawing/2014/chart" uri="{C3380CC4-5D6E-409C-BE32-E72D297353CC}">
                <c16:uniqueId val="{00000005-6C67-4236-8249-338D291D01CE}"/>
              </c:ext>
            </c:extLst>
          </c:dPt>
          <c:dLbls>
            <c:dLbl>
              <c:idx val="0"/>
              <c:layout>
                <c:manualLayout>
                  <c:x val="1.0242783893419262E-2"/>
                  <c:y val="-2.8479224007189798E-2"/>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1-6C67-4236-8249-338D291D01CE}"/>
                </c:ext>
              </c:extLst>
            </c:dLbl>
            <c:dLbl>
              <c:idx val="1"/>
              <c:layout>
                <c:manualLayout>
                  <c:x val="1.6832921415031531E-2"/>
                  <c:y val="1.1880897882379374E-2"/>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6C67-4236-8249-338D291D01CE}"/>
                </c:ext>
              </c:extLst>
            </c:dLbl>
            <c:dLbl>
              <c:idx val="2"/>
              <c:layout>
                <c:manualLayout>
                  <c:x val="0"/>
                  <c:y val="0.23610105321390634"/>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6C67-4236-8249-338D291D01CE}"/>
                </c:ext>
              </c:extLst>
            </c:dLbl>
            <c:dLbl>
              <c:idx val="3"/>
              <c:layout>
                <c:manualLayout>
                  <c:x val="-3.8703046243475071E-2"/>
                  <c:y val="-6.8275998107277247E-3"/>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4-6C67-4236-8249-338D291D01CE}"/>
                </c:ext>
              </c:extLst>
            </c:dLbl>
            <c:dLbl>
              <c:idx val="4"/>
              <c:layout>
                <c:manualLayout>
                  <c:x val="-7.2895536477178748E-3"/>
                  <c:y val="-8.2745022203844429E-2"/>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6C67-4236-8249-338D291D01CE}"/>
                </c:ext>
              </c:extLst>
            </c:dLbl>
            <c:spPr>
              <a:noFill/>
              <a:ln>
                <a:noFill/>
              </a:ln>
              <a:effectLst/>
            </c:spPr>
            <c:txPr>
              <a:bodyPr/>
              <a:lstStyle/>
              <a:p>
                <a:pPr>
                  <a:defRPr sz="1000">
                    <a:latin typeface="Arial" panose="020B0604020202020204" pitchFamily="34" charset="0"/>
                    <a:cs typeface="Arial" panose="020B0604020202020204" pitchFamily="34" charset="0"/>
                  </a:defRPr>
                </a:pPr>
                <a:endParaRPr lang="fi-FI"/>
              </a:p>
            </c:txPr>
            <c:showLegendKey val="1"/>
            <c:showVal val="0"/>
            <c:showCatName val="0"/>
            <c:showSerName val="0"/>
            <c:showPercent val="1"/>
            <c:showBubbleSize val="0"/>
            <c:showLeaderLines val="1"/>
            <c:extLst>
              <c:ext xmlns:c15="http://schemas.microsoft.com/office/drawing/2012/chart" uri="{CE6537A1-D6FC-4f65-9D91-7224C49458BB}"/>
            </c:extLst>
          </c:dLbls>
          <c:cat>
            <c:strRef>
              <c:f>Painokertoimet!$AX$20:$AX$25</c:f>
              <c:strCache>
                <c:ptCount val="6"/>
                <c:pt idx="0">
                  <c:v>Säilytettävä kasvillisuus</c:v>
                </c:pt>
                <c:pt idx="1">
                  <c:v>Istutettava kasvillisuus</c:v>
                </c:pt>
                <c:pt idx="2">
                  <c:v>Viherkatot ja julkisivukasvillisuus</c:v>
                </c:pt>
                <c:pt idx="3">
                  <c:v>Pinnoitteet</c:v>
                </c:pt>
                <c:pt idx="4">
                  <c:v>Hulevesien hallintarakenteet</c:v>
                </c:pt>
                <c:pt idx="5">
                  <c:v>Bonuselementit</c:v>
                </c:pt>
              </c:strCache>
            </c:strRef>
          </c:cat>
          <c:val>
            <c:numRef>
              <c:f>Painokertoimet!$BD$20:$BD$25</c:f>
              <c:numCache>
                <c:formatCode>0.0\ %</c:formatCode>
                <c:ptCount val="6"/>
                <c:pt idx="0">
                  <c:v>0</c:v>
                </c:pt>
                <c:pt idx="1">
                  <c:v>0</c:v>
                </c:pt>
                <c:pt idx="2">
                  <c:v>0</c:v>
                </c:pt>
                <c:pt idx="3">
                  <c:v>0</c:v>
                </c:pt>
                <c:pt idx="4">
                  <c:v>0</c:v>
                </c:pt>
                <c:pt idx="5">
                  <c:v>0</c:v>
                </c:pt>
              </c:numCache>
            </c:numRef>
          </c:val>
          <c:extLst>
            <c:ext xmlns:c16="http://schemas.microsoft.com/office/drawing/2014/chart" uri="{C3380CC4-5D6E-409C-BE32-E72D297353CC}">
              <c16:uniqueId val="{00000006-6C67-4236-8249-338D291D01CE}"/>
            </c:ext>
          </c:extLst>
        </c:ser>
        <c:dLbls>
          <c:showLegendKey val="0"/>
          <c:showVal val="0"/>
          <c:showCatName val="0"/>
          <c:showSerName val="0"/>
          <c:showPercent val="0"/>
          <c:showBubbleSize val="0"/>
          <c:showLeaderLines val="1"/>
        </c:dLbls>
        <c:firstSliceAng val="0"/>
      </c:pieChart>
    </c:plotArea>
    <c:legend>
      <c:legendPos val="r"/>
      <c:layout>
        <c:manualLayout>
          <c:xMode val="edge"/>
          <c:yMode val="edge"/>
          <c:x val="0.52276061815113928"/>
          <c:y val="0.53248091964837385"/>
          <c:w val="0.47347396674037806"/>
          <c:h val="0.42477445746262699"/>
        </c:manualLayout>
      </c:layout>
      <c:overlay val="0"/>
      <c:txPr>
        <a:bodyPr/>
        <a:lstStyle/>
        <a:p>
          <a:pPr>
            <a:defRPr sz="1050">
              <a:latin typeface="Arial" panose="020B0604020202020204" pitchFamily="34" charset="0"/>
              <a:cs typeface="Arial" panose="020B0604020202020204" pitchFamily="34" charset="0"/>
            </a:defRPr>
          </a:pPr>
          <a:endParaRPr lang="fi-FI"/>
        </a:p>
      </c:txPr>
    </c:legend>
    <c:plotVisOnly val="1"/>
    <c:dispBlanksAs val="zero"/>
    <c:showDLblsOverMax val="0"/>
  </c:chart>
  <c:spPr>
    <a:ln>
      <a:solidFill>
        <a:sysClr val="windowText" lastClr="000000"/>
      </a:solidFill>
    </a:ln>
  </c:spPr>
  <c:printSettings>
    <c:headerFooter/>
    <c:pageMargins b="0.75000000000000622" l="0.70000000000000062" r="0.70000000000000062" t="0.75000000000000622" header="0.30000000000000032" footer="0.3000000000000003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200"/>
            </a:pPr>
            <a:r>
              <a:rPr lang="fi-FI" sz="1200">
                <a:latin typeface="Arial" panose="020B0604020202020204" pitchFamily="34" charset="0"/>
                <a:cs typeface="Arial" panose="020B0604020202020204" pitchFamily="34" charset="0"/>
              </a:rPr>
              <a:t>Täytetyt</a:t>
            </a:r>
            <a:r>
              <a:rPr lang="fi-FI" sz="1200" baseline="0">
                <a:latin typeface="Arial" panose="020B0604020202020204" pitchFamily="34" charset="0"/>
                <a:cs typeface="Arial" panose="020B0604020202020204" pitchFamily="34" charset="0"/>
              </a:rPr>
              <a:t> elementit (% täytettyjen elementtien kokonaislukumäärästä)</a:t>
            </a:r>
            <a:endParaRPr lang="fi-FI" sz="1200">
              <a:latin typeface="Arial" panose="020B0604020202020204" pitchFamily="34" charset="0"/>
              <a:cs typeface="Arial" panose="020B0604020202020204" pitchFamily="34" charset="0"/>
            </a:endParaRPr>
          </a:p>
        </c:rich>
      </c:tx>
      <c:layout>
        <c:manualLayout>
          <c:xMode val="edge"/>
          <c:yMode val="edge"/>
          <c:x val="0.17817179670722977"/>
          <c:y val="1.0749683417457072E-2"/>
        </c:manualLayout>
      </c:layout>
      <c:overlay val="1"/>
    </c:title>
    <c:autoTitleDeleted val="0"/>
    <c:plotArea>
      <c:layout>
        <c:manualLayout>
          <c:layoutTarget val="inner"/>
          <c:xMode val="edge"/>
          <c:yMode val="edge"/>
          <c:x val="0.13229268870681771"/>
          <c:y val="0.12574146195970301"/>
          <c:w val="0.80794405378752365"/>
          <c:h val="0.55078963999197428"/>
        </c:manualLayout>
      </c:layout>
      <c:barChart>
        <c:barDir val="col"/>
        <c:grouping val="clustered"/>
        <c:varyColors val="0"/>
        <c:ser>
          <c:idx val="0"/>
          <c:order val="0"/>
          <c:spPr>
            <a:solidFill>
              <a:srgbClr val="92D050"/>
            </a:solidFill>
          </c:spPr>
          <c:invertIfNegative val="0"/>
          <c:dPt>
            <c:idx val="0"/>
            <c:invertIfNegative val="0"/>
            <c:bubble3D val="0"/>
            <c:spPr>
              <a:solidFill>
                <a:srgbClr val="9ABF83"/>
              </a:solidFill>
            </c:spPr>
            <c:extLst>
              <c:ext xmlns:c16="http://schemas.microsoft.com/office/drawing/2014/chart" uri="{C3380CC4-5D6E-409C-BE32-E72D297353CC}">
                <c16:uniqueId val="{00000000-C057-F547-9220-2E981096D445}"/>
              </c:ext>
            </c:extLst>
          </c:dPt>
          <c:dPt>
            <c:idx val="1"/>
            <c:invertIfNegative val="0"/>
            <c:bubble3D val="0"/>
            <c:spPr>
              <a:solidFill>
                <a:srgbClr val="FFBF0E"/>
              </a:solidFill>
            </c:spPr>
            <c:extLst>
              <c:ext xmlns:c16="http://schemas.microsoft.com/office/drawing/2014/chart" uri="{C3380CC4-5D6E-409C-BE32-E72D297353CC}">
                <c16:uniqueId val="{00000001-C057-F547-9220-2E981096D445}"/>
              </c:ext>
            </c:extLst>
          </c:dPt>
          <c:dPt>
            <c:idx val="2"/>
            <c:invertIfNegative val="0"/>
            <c:bubble3D val="0"/>
            <c:spPr>
              <a:solidFill>
                <a:schemeClr val="bg1">
                  <a:lumMod val="75000"/>
                </a:schemeClr>
              </a:solidFill>
            </c:spPr>
            <c:extLst>
              <c:ext xmlns:c16="http://schemas.microsoft.com/office/drawing/2014/chart" uri="{C3380CC4-5D6E-409C-BE32-E72D297353CC}">
                <c16:uniqueId val="{00000002-C057-F547-9220-2E981096D445}"/>
              </c:ext>
            </c:extLst>
          </c:dPt>
          <c:dPt>
            <c:idx val="3"/>
            <c:invertIfNegative val="0"/>
            <c:bubble3D val="0"/>
            <c:spPr>
              <a:solidFill>
                <a:schemeClr val="accent1"/>
              </a:solidFill>
            </c:spPr>
            <c:extLst>
              <c:ext xmlns:c16="http://schemas.microsoft.com/office/drawing/2014/chart" uri="{C3380CC4-5D6E-409C-BE32-E72D297353CC}">
                <c16:uniqueId val="{00000003-C057-F547-9220-2E981096D445}"/>
              </c:ext>
            </c:extLst>
          </c:dPt>
          <c:dPt>
            <c:idx val="4"/>
            <c:invertIfNegative val="0"/>
            <c:bubble3D val="0"/>
            <c:spPr>
              <a:solidFill>
                <a:srgbClr val="FFFC84"/>
              </a:solidFill>
            </c:spPr>
            <c:extLst>
              <c:ext xmlns:c16="http://schemas.microsoft.com/office/drawing/2014/chart" uri="{C3380CC4-5D6E-409C-BE32-E72D297353CC}">
                <c16:uniqueId val="{00000004-C057-F547-9220-2E981096D445}"/>
              </c:ext>
            </c:extLst>
          </c:dPt>
          <c:cat>
            <c:strRef>
              <c:f>Tulokset!$H$12:$H$17</c:f>
              <c:strCache>
                <c:ptCount val="6"/>
                <c:pt idx="0">
                  <c:v>Säilytettävä kasvillisuus</c:v>
                </c:pt>
                <c:pt idx="1">
                  <c:v>Istutettava kasvillisuus</c:v>
                </c:pt>
                <c:pt idx="2">
                  <c:v>Viherkatot ja julkisivukasvillisuus</c:v>
                </c:pt>
                <c:pt idx="3">
                  <c:v>Pinnoitteet</c:v>
                </c:pt>
                <c:pt idx="4">
                  <c:v>Hulevesien hallintarakenteet</c:v>
                </c:pt>
                <c:pt idx="5">
                  <c:v>Bonuselementit</c:v>
                </c:pt>
              </c:strCache>
            </c:strRef>
          </c:cat>
          <c:val>
            <c:numRef>
              <c:f>Painokertoimet!$BC$20:$BC$25</c:f>
              <c:numCache>
                <c:formatCode>0.0\ %</c:formatCode>
                <c:ptCount val="6"/>
                <c:pt idx="0">
                  <c:v>0</c:v>
                </c:pt>
                <c:pt idx="1">
                  <c:v>0</c:v>
                </c:pt>
                <c:pt idx="2">
                  <c:v>0</c:v>
                </c:pt>
                <c:pt idx="3">
                  <c:v>0</c:v>
                </c:pt>
                <c:pt idx="4">
                  <c:v>0</c:v>
                </c:pt>
                <c:pt idx="5">
                  <c:v>0</c:v>
                </c:pt>
              </c:numCache>
            </c:numRef>
          </c:val>
          <c:extLst>
            <c:ext xmlns:c16="http://schemas.microsoft.com/office/drawing/2014/chart" uri="{C3380CC4-5D6E-409C-BE32-E72D297353CC}">
              <c16:uniqueId val="{00000000-A260-40B5-BF71-EB479D040C6F}"/>
            </c:ext>
          </c:extLst>
        </c:ser>
        <c:dLbls>
          <c:showLegendKey val="0"/>
          <c:showVal val="0"/>
          <c:showCatName val="0"/>
          <c:showSerName val="0"/>
          <c:showPercent val="0"/>
          <c:showBubbleSize val="0"/>
        </c:dLbls>
        <c:gapWidth val="150"/>
        <c:axId val="47544192"/>
        <c:axId val="47545728"/>
      </c:barChart>
      <c:catAx>
        <c:axId val="47544192"/>
        <c:scaling>
          <c:orientation val="minMax"/>
        </c:scaling>
        <c:delete val="0"/>
        <c:axPos val="b"/>
        <c:numFmt formatCode="General" sourceLinked="0"/>
        <c:majorTickMark val="out"/>
        <c:minorTickMark val="none"/>
        <c:tickLblPos val="nextTo"/>
        <c:txPr>
          <a:bodyPr rot="-5400000" vert="horz"/>
          <a:lstStyle/>
          <a:p>
            <a:pPr>
              <a:defRPr sz="1000">
                <a:latin typeface="Arial" panose="020B0604020202020204" pitchFamily="34" charset="0"/>
                <a:cs typeface="Arial" panose="020B0604020202020204" pitchFamily="34" charset="0"/>
              </a:defRPr>
            </a:pPr>
            <a:endParaRPr lang="fi-FI"/>
          </a:p>
        </c:txPr>
        <c:crossAx val="47545728"/>
        <c:crosses val="autoZero"/>
        <c:auto val="1"/>
        <c:lblAlgn val="ctr"/>
        <c:lblOffset val="100"/>
        <c:noMultiLvlLbl val="0"/>
      </c:catAx>
      <c:valAx>
        <c:axId val="47545728"/>
        <c:scaling>
          <c:orientation val="minMax"/>
          <c:max val="1"/>
        </c:scaling>
        <c:delete val="0"/>
        <c:axPos val="l"/>
        <c:majorGridlines/>
        <c:numFmt formatCode="0%" sourceLinked="0"/>
        <c:majorTickMark val="out"/>
        <c:minorTickMark val="none"/>
        <c:tickLblPos val="nextTo"/>
        <c:txPr>
          <a:bodyPr/>
          <a:lstStyle/>
          <a:p>
            <a:pPr>
              <a:defRPr>
                <a:latin typeface="Arial" panose="020B0604020202020204" pitchFamily="34" charset="0"/>
                <a:cs typeface="Arial" panose="020B0604020202020204" pitchFamily="34" charset="0"/>
              </a:defRPr>
            </a:pPr>
            <a:endParaRPr lang="fi-FI"/>
          </a:p>
        </c:txPr>
        <c:crossAx val="47544192"/>
        <c:crosses val="autoZero"/>
        <c:crossBetween val="between"/>
      </c:valAx>
      <c:spPr>
        <a:ln>
          <a:solidFill>
            <a:schemeClr val="bg1">
              <a:lumMod val="50000"/>
            </a:schemeClr>
          </a:solidFill>
        </a:ln>
      </c:spPr>
    </c:plotArea>
    <c:plotVisOnly val="1"/>
    <c:dispBlanksAs val="gap"/>
    <c:showDLblsOverMax val="0"/>
  </c:chart>
  <c:spPr>
    <a:ln>
      <a:solidFill>
        <a:sysClr val="windowText" lastClr="000000"/>
      </a:solidFill>
    </a:ln>
  </c:spPr>
  <c:printSettings>
    <c:headerFooter/>
    <c:pageMargins b="0.750000000000006" l="0.70000000000000062" r="0.70000000000000062" t="0.750000000000006" header="0.30000000000000032" footer="0.3000000000000003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100"/>
            </a:pPr>
            <a:r>
              <a:rPr lang="fi-FI" sz="1100">
                <a:latin typeface="Arial" panose="020B0604020202020204" pitchFamily="34" charset="0"/>
                <a:cs typeface="Arial" panose="020B0604020202020204" pitchFamily="34" charset="0"/>
              </a:rPr>
              <a:t>Laskennassa painottuneet tekijät, %</a:t>
            </a:r>
          </a:p>
        </c:rich>
      </c:tx>
      <c:layout>
        <c:manualLayout>
          <c:xMode val="edge"/>
          <c:yMode val="edge"/>
          <c:x val="0.25406031793195655"/>
          <c:y val="8.8888927772934279E-2"/>
        </c:manualLayout>
      </c:layout>
      <c:overlay val="1"/>
    </c:title>
    <c:autoTitleDeleted val="0"/>
    <c:plotArea>
      <c:layout>
        <c:manualLayout>
          <c:layoutTarget val="inner"/>
          <c:xMode val="edge"/>
          <c:yMode val="edge"/>
          <c:x val="7.4219543560137879E-2"/>
          <c:y val="0.26591524603752753"/>
          <c:w val="0.35563366300360688"/>
          <c:h val="0.75308015701577802"/>
        </c:manualLayout>
      </c:layout>
      <c:pieChart>
        <c:varyColors val="1"/>
        <c:ser>
          <c:idx val="0"/>
          <c:order val="0"/>
          <c:dPt>
            <c:idx val="0"/>
            <c:bubble3D val="0"/>
            <c:spPr>
              <a:solidFill>
                <a:srgbClr val="FFB2E8"/>
              </a:solidFill>
            </c:spPr>
            <c:extLst>
              <c:ext xmlns:c16="http://schemas.microsoft.com/office/drawing/2014/chart" uri="{C3380CC4-5D6E-409C-BE32-E72D297353CC}">
                <c16:uniqueId val="{00000000-4EA5-6A45-9ADA-61D3E944052E}"/>
              </c:ext>
            </c:extLst>
          </c:dPt>
          <c:dPt>
            <c:idx val="1"/>
            <c:bubble3D val="0"/>
            <c:spPr>
              <a:solidFill>
                <a:srgbClr val="B0C6FF"/>
              </a:solidFill>
            </c:spPr>
            <c:extLst>
              <c:ext xmlns:c16="http://schemas.microsoft.com/office/drawing/2014/chart" uri="{C3380CC4-5D6E-409C-BE32-E72D297353CC}">
                <c16:uniqueId val="{00000001-4EA5-6A45-9ADA-61D3E944052E}"/>
              </c:ext>
            </c:extLst>
          </c:dPt>
          <c:dPt>
            <c:idx val="2"/>
            <c:bubble3D val="0"/>
            <c:spPr>
              <a:solidFill>
                <a:srgbClr val="7A81FF"/>
              </a:solidFill>
            </c:spPr>
            <c:extLst>
              <c:ext xmlns:c16="http://schemas.microsoft.com/office/drawing/2014/chart" uri="{C3380CC4-5D6E-409C-BE32-E72D297353CC}">
                <c16:uniqueId val="{00000002-4EA5-6A45-9ADA-61D3E944052E}"/>
              </c:ext>
            </c:extLst>
          </c:dPt>
          <c:dPt>
            <c:idx val="3"/>
            <c:bubble3D val="0"/>
            <c:spPr>
              <a:solidFill>
                <a:srgbClr val="C050C9"/>
              </a:solidFill>
            </c:spPr>
            <c:extLst>
              <c:ext xmlns:c16="http://schemas.microsoft.com/office/drawing/2014/chart" uri="{C3380CC4-5D6E-409C-BE32-E72D297353CC}">
                <c16:uniqueId val="{00000003-4EA5-6A45-9ADA-61D3E944052E}"/>
              </c:ext>
            </c:extLst>
          </c:dPt>
          <c:dPt>
            <c:idx val="4"/>
            <c:bubble3D val="0"/>
            <c:spPr>
              <a:solidFill>
                <a:srgbClr val="FF71C9"/>
              </a:solidFill>
            </c:spPr>
            <c:extLst>
              <c:ext xmlns:c16="http://schemas.microsoft.com/office/drawing/2014/chart" uri="{C3380CC4-5D6E-409C-BE32-E72D297353CC}">
                <c16:uniqueId val="{00000005-4EA5-6A45-9ADA-61D3E944052E}"/>
              </c:ext>
            </c:extLst>
          </c:dPt>
          <c:dLbls>
            <c:dLbl>
              <c:idx val="0"/>
              <c:layout>
                <c:manualLayout>
                  <c:x val="2.20265311935697E-2"/>
                  <c:y val="7.914510686163706E-4"/>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0-4EA5-6A45-9ADA-61D3E944052E}"/>
                </c:ext>
              </c:extLst>
            </c:dLbl>
            <c:dLbl>
              <c:idx val="1"/>
              <c:layout>
                <c:manualLayout>
                  <c:x val="2.2674482293595446E-2"/>
                  <c:y val="-4.9050143446281447E-2"/>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1-4EA5-6A45-9ADA-61D3E944052E}"/>
                </c:ext>
              </c:extLst>
            </c:dLbl>
            <c:dLbl>
              <c:idx val="2"/>
              <c:layout>
                <c:manualLayout>
                  <c:x val="-0.16624088417930527"/>
                  <c:y val="8.4283464566929145E-2"/>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2-4EA5-6A45-9ADA-61D3E944052E}"/>
                </c:ext>
              </c:extLst>
            </c:dLbl>
            <c:dLbl>
              <c:idx val="3"/>
              <c:layout>
                <c:manualLayout>
                  <c:x val="2.5764968058238002E-3"/>
                  <c:y val="-9.724851148228849E-3"/>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4EA5-6A45-9ADA-61D3E944052E}"/>
                </c:ext>
              </c:extLst>
            </c:dLbl>
            <c:dLbl>
              <c:idx val="4"/>
              <c:layout>
                <c:manualLayout>
                  <c:x val="-2.8887138343306972E-3"/>
                  <c:y val="-3.2085939257592802E-2"/>
                </c:manualLayout>
              </c:layout>
              <c:showLegendKey val="1"/>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4EA5-6A45-9ADA-61D3E944052E}"/>
                </c:ext>
              </c:extLst>
            </c:dLbl>
            <c:spPr>
              <a:noFill/>
              <a:ln>
                <a:noFill/>
              </a:ln>
              <a:effectLst/>
            </c:spPr>
            <c:txPr>
              <a:bodyPr/>
              <a:lstStyle/>
              <a:p>
                <a:pPr>
                  <a:defRPr sz="1000">
                    <a:latin typeface="Arial" panose="020B0604020202020204" pitchFamily="34" charset="0"/>
                    <a:cs typeface="Arial" panose="020B0604020202020204" pitchFamily="34" charset="0"/>
                  </a:defRPr>
                </a:pPr>
                <a:endParaRPr lang="fi-FI"/>
              </a:p>
            </c:txPr>
            <c:showLegendKey val="1"/>
            <c:showVal val="0"/>
            <c:showCatName val="0"/>
            <c:showSerName val="0"/>
            <c:showPercent val="1"/>
            <c:showBubbleSize val="0"/>
            <c:showLeaderLines val="1"/>
            <c:extLst>
              <c:ext xmlns:c15="http://schemas.microsoft.com/office/drawing/2012/chart" uri="{CE6537A1-D6FC-4f65-9D91-7224C49458BB}"/>
            </c:extLst>
          </c:dLbls>
          <c:cat>
            <c:strRef>
              <c:f>Painokertoimet!$AY$17:$BC$17</c:f>
              <c:strCache>
                <c:ptCount val="5"/>
                <c:pt idx="0">
                  <c:v>Ekologisuus</c:v>
                </c:pt>
                <c:pt idx="1">
                  <c:v>Toiminnallisuus</c:v>
                </c:pt>
                <c:pt idx="2">
                  <c:v>Maisema-arvo</c:v>
                </c:pt>
                <c:pt idx="3">
                  <c:v>Kunnossapito</c:v>
                </c:pt>
                <c:pt idx="4">
                  <c:v>Hulevesi</c:v>
                </c:pt>
              </c:strCache>
            </c:strRef>
          </c:cat>
          <c:val>
            <c:numRef>
              <c:f>Painokertoimet!$AY$18:$BC$18</c:f>
              <c:numCache>
                <c:formatCode>0.0\ %</c:formatCode>
                <c:ptCount val="5"/>
                <c:pt idx="0">
                  <c:v>0.34894375159073554</c:v>
                </c:pt>
                <c:pt idx="1">
                  <c:v>0.22193942479002288</c:v>
                </c:pt>
                <c:pt idx="2">
                  <c:v>0</c:v>
                </c:pt>
                <c:pt idx="3">
                  <c:v>0.15423771952150675</c:v>
                </c:pt>
                <c:pt idx="4">
                  <c:v>0.27487910409773481</c:v>
                </c:pt>
              </c:numCache>
            </c:numRef>
          </c:val>
          <c:extLst>
            <c:ext xmlns:c16="http://schemas.microsoft.com/office/drawing/2014/chart" uri="{C3380CC4-5D6E-409C-BE32-E72D297353CC}">
              <c16:uniqueId val="{00000004-4EA5-6A45-9ADA-61D3E944052E}"/>
            </c:ext>
          </c:extLst>
        </c:ser>
        <c:dLbls>
          <c:showLegendKey val="0"/>
          <c:showVal val="0"/>
          <c:showCatName val="0"/>
          <c:showSerName val="0"/>
          <c:showPercent val="0"/>
          <c:showBubbleSize val="0"/>
          <c:showLeaderLines val="1"/>
        </c:dLbls>
        <c:firstSliceAng val="0"/>
      </c:pieChart>
    </c:plotArea>
    <c:legend>
      <c:legendPos val="r"/>
      <c:layout>
        <c:manualLayout>
          <c:xMode val="edge"/>
          <c:yMode val="edge"/>
          <c:x val="0.52716565146337835"/>
          <c:y val="0.55853655229070531"/>
          <c:w val="0.28411972223933707"/>
          <c:h val="0.40176015608668375"/>
        </c:manualLayout>
      </c:layout>
      <c:overlay val="0"/>
      <c:txPr>
        <a:bodyPr/>
        <a:lstStyle/>
        <a:p>
          <a:pPr>
            <a:defRPr sz="1050">
              <a:latin typeface="Arial" panose="020B0604020202020204" pitchFamily="34" charset="0"/>
              <a:cs typeface="Arial" panose="020B0604020202020204" pitchFamily="34" charset="0"/>
            </a:defRPr>
          </a:pPr>
          <a:endParaRPr lang="fi-FI"/>
        </a:p>
      </c:txPr>
    </c:legend>
    <c:plotVisOnly val="1"/>
    <c:dispBlanksAs val="zero"/>
    <c:showDLblsOverMax val="0"/>
  </c:chart>
  <c:spPr>
    <a:noFill/>
    <a:ln>
      <a:solidFill>
        <a:sysClr val="windowText" lastClr="000000"/>
      </a:solidFill>
    </a:ln>
  </c:spPr>
  <c:printSettings>
    <c:headerFooter/>
    <c:pageMargins b="0.75000000000001055" l="0.70000000000000062" r="0.70000000000000062" t="0.75000000000001055" header="0.30000000000000032" footer="0.30000000000000032"/>
    <c:pageSetup/>
  </c:printSettings>
</c:chartSpace>
</file>

<file path=xl/ctrlProps/ctrlProp1.xml><?xml version="1.0" encoding="utf-8"?>
<formControlPr xmlns="http://schemas.microsoft.com/office/spreadsheetml/2009/9/main" objectType="Radio" checked="Checked" firstButton="1" fmlaLink="$C$42" lockText="1" noThreeD="1"/>
</file>

<file path=xl/ctrlProps/ctrlProp2.xml><?xml version="1.0" encoding="utf-8"?>
<formControlPr xmlns="http://schemas.microsoft.com/office/spreadsheetml/2009/9/main" objectType="Radio" lockText="1" noThreeD="1"/>
</file>

<file path=xl/ctrlProps/ctrlProp3.xml><?xml version="1.0" encoding="utf-8"?>
<formControlPr xmlns="http://schemas.microsoft.com/office/spreadsheetml/2009/9/main" objectType="Radio" lockText="1" noThreeD="1"/>
</file>

<file path=xl/ctrlProps/ctrlProp4.xml><?xml version="1.0" encoding="utf-8"?>
<formControlPr xmlns="http://schemas.microsoft.com/office/spreadsheetml/2009/9/main" objectType="Radio" lockText="1" noThreeD="1"/>
</file>

<file path=xl/ctrlProps/ctrlProp5.xml><?xml version="1.0" encoding="utf-8"?>
<formControlPr xmlns="http://schemas.microsoft.com/office/spreadsheetml/2009/9/main" objectType="GBox" noThreeD="1"/>
</file>

<file path=xl/ctrlProps/ctrlProp6.xml><?xml version="1.0" encoding="utf-8"?>
<formControlPr xmlns="http://schemas.microsoft.com/office/spreadsheetml/2009/9/main" objectType="GBox" noThreeD="1"/>
</file>

<file path=xl/ctrlProps/ctrlProp7.xml><?xml version="1.0" encoding="utf-8"?>
<formControlPr xmlns="http://schemas.microsoft.com/office/spreadsheetml/2009/9/main" objectType="Radio" lockText="1" noThreeD="1"/>
</file>

<file path=xl/ctrlProps/ctrlProp8.xml><?xml version="1.0" encoding="utf-8"?>
<formControlPr xmlns="http://schemas.microsoft.com/office/spreadsheetml/2009/9/main" objectType="Radio" lockText="1" noThreeD="1"/>
</file>

<file path=xl/ctrlProps/ctrlProp9.xml><?xml version="1.0" encoding="utf-8"?>
<formControlPr xmlns="http://schemas.microsoft.com/office/spreadsheetml/2009/9/main" objectType="CheckBox" fmlaLink="$F$46" lockText="1" noThreeD="1"/>
</file>

<file path=xl/ctrlProps/ctrlProp10.xml><?xml version="1.0" encoding="utf-8"?>
<formControlPr xmlns="http://schemas.microsoft.com/office/spreadsheetml/2009/9/main" objectType="CheckBox" fmlaLink="$F$45" lockText="1" noThreeD="1"/>
</file>

<file path=xl/ctrlProps/ctrlProp11.xml><?xml version="1.0" encoding="utf-8"?>
<formControlPr xmlns="http://schemas.microsoft.com/office/spreadsheetml/2009/9/main" objectType="CheckBox" fmlaLink="$F$47" lockText="1" noThreeD="1"/>
</file>

<file path=xl/ctrlProps/ctrlProp12.xml><?xml version="1.0" encoding="utf-8"?>
<formControlPr xmlns="http://schemas.microsoft.com/office/spreadsheetml/2009/9/main" objectType="CheckBox" fmlaLink="$F$53" lockText="1" noThreeD="1"/>
</file>

<file path=xl/ctrlProps/ctrlProp13.xml><?xml version="1.0" encoding="utf-8"?>
<formControlPr xmlns="http://schemas.microsoft.com/office/spreadsheetml/2009/9/main" objectType="CheckBox" fmlaLink="$F$55" lockText="1" noThreeD="1"/>
</file>

<file path=xl/ctrlProps/ctrlProp14.xml><?xml version="1.0" encoding="utf-8"?>
<formControlPr xmlns="http://schemas.microsoft.com/office/spreadsheetml/2009/9/main" objectType="CheckBox" fmlaLink="$F$54" lockText="1" noThreeD="1"/>
</file>

<file path=xl/ctrlProps/ctrlProp15.xml><?xml version="1.0" encoding="utf-8"?>
<formControlPr xmlns="http://schemas.microsoft.com/office/spreadsheetml/2009/9/main" objectType="CheckBox" fmlaLink="$F$36" lockText="1" noThreeD="1"/>
</file>

<file path=xl/ctrlProps/ctrlProp16.xml><?xml version="1.0" encoding="utf-8"?>
<formControlPr xmlns="http://schemas.microsoft.com/office/spreadsheetml/2009/9/main" objectType="CheckBox" fmlaLink="$F$35" lockText="1" noThreeD="1"/>
</file>

<file path=xl/ctrlProps/ctrlProp17.xml><?xml version="1.0" encoding="utf-8"?>
<formControlPr xmlns="http://schemas.microsoft.com/office/spreadsheetml/2009/9/main" objectType="CheckBox" fmlaLink="$F$41" lockText="1" noThreeD="1"/>
</file>

<file path=xl/ctrlProps/ctrlProp18.xml><?xml version="1.0" encoding="utf-8"?>
<formControlPr xmlns="http://schemas.microsoft.com/office/spreadsheetml/2009/9/main" objectType="CheckBox" fmlaLink="$F$42" lockText="1" noThreeD="1"/>
</file>

<file path=xl/ctrlProps/ctrlProp19.xml><?xml version="1.0" encoding="utf-8"?>
<formControlPr xmlns="http://schemas.microsoft.com/office/spreadsheetml/2009/9/main" objectType="CheckBox" fmlaLink="$F$43" lockText="1" noThreeD="1"/>
</file>

<file path=xl/ctrlProps/ctrlProp20.xml><?xml version="1.0" encoding="utf-8"?>
<formControlPr xmlns="http://schemas.microsoft.com/office/spreadsheetml/2009/9/main" objectType="CheckBox" fmlaLink="$F$44" lockText="1" noThreeD="1"/>
</file>

<file path=xl/ctrlProps/ctrlProp21.xml><?xml version="1.0" encoding="utf-8"?>
<formControlPr xmlns="http://schemas.microsoft.com/office/spreadsheetml/2009/9/main" objectType="CheckBox" fmlaLink="$F$39" lockText="1" noThreeD="1"/>
</file>

<file path=xl/ctrlProps/ctrlProp22.xml><?xml version="1.0" encoding="utf-8"?>
<formControlPr xmlns="http://schemas.microsoft.com/office/spreadsheetml/2009/9/main" objectType="CheckBox" fmlaLink="$F$37" lockText="1" noThreeD="1"/>
</file>

<file path=xl/ctrlProps/ctrlProp23.xml><?xml version="1.0" encoding="utf-8"?>
<formControlPr xmlns="http://schemas.microsoft.com/office/spreadsheetml/2009/9/main" objectType="CheckBox" fmlaLink="$F$52" lockText="1" noThreeD="1"/>
</file>

<file path=xl/ctrlProps/ctrlProp24.xml><?xml version="1.0" encoding="utf-8"?>
<formControlPr xmlns="http://schemas.microsoft.com/office/spreadsheetml/2009/9/main" objectType="CheckBox" fmlaLink="$F$38" lockText="1" noThreeD="1"/>
</file>

<file path=xl/ctrlProps/ctrlProp25.xml><?xml version="1.0" encoding="utf-8"?>
<formControlPr xmlns="http://schemas.microsoft.com/office/spreadsheetml/2009/9/main" objectType="CheckBox" fmlaLink="$F$48" lockText="1" noThreeD="1"/>
</file>

<file path=xl/ctrlProps/ctrlProp26.xml><?xml version="1.0" encoding="utf-8"?>
<formControlPr xmlns="http://schemas.microsoft.com/office/spreadsheetml/2009/9/main" objectType="CheckBox" fmlaLink="$F$52" lockText="1" noThreeD="1"/>
</file>

<file path=xl/ctrlProps/ctrlProp27.xml><?xml version="1.0" encoding="utf-8"?>
<formControlPr xmlns="http://schemas.microsoft.com/office/spreadsheetml/2009/9/main" objectType="CheckBox" fmlaLink="$F$48" lockText="1" noThreeD="1"/>
</file>

<file path=xl/ctrlProps/ctrlProp28.xml><?xml version="1.0" encoding="utf-8"?>
<formControlPr xmlns="http://schemas.microsoft.com/office/spreadsheetml/2009/9/main" objectType="CheckBox" fmlaLink="$F$49" lockText="1" noThreeD="1"/>
</file>

<file path=xl/ctrlProps/ctrlProp29.xml><?xml version="1.0" encoding="utf-8"?>
<formControlPr xmlns="http://schemas.microsoft.com/office/spreadsheetml/2009/9/main" objectType="CheckBox" fmlaLink="$F$50" lockText="1" noThreeD="1"/>
</file>

<file path=xl/ctrlProps/ctrlProp30.xml><?xml version="1.0" encoding="utf-8"?>
<formControlPr xmlns="http://schemas.microsoft.com/office/spreadsheetml/2009/9/main" objectType="CheckBox" fmlaLink="$F$51" lockText="1" noThreeD="1"/>
</file>

<file path=xl/ctrlProps/ctrlProp31.xml><?xml version="1.0" encoding="utf-8"?>
<formControlPr xmlns="http://schemas.microsoft.com/office/spreadsheetml/2009/9/main" objectType="CheckBox" fmlaLink="$F$40" lockText="1" noThreeD="1"/>
</file>

<file path=xl/ctrlProps/ctrlProp32.xml><?xml version="1.0" encoding="utf-8"?>
<formControlPr xmlns="http://schemas.microsoft.com/office/spreadsheetml/2009/9/main" objectType="Button" lockText="1"/>
</file>

<file path=xl/ctrlProps/ctrlProp33.xml><?xml version="1.0" encoding="utf-8"?>
<formControlPr xmlns="http://schemas.microsoft.com/office/spreadsheetml/2009/9/main" objectType="Button" lockText="1"/>
</file>

<file path=xl/ctrlProps/ctrlProp34.xml><?xml version="1.0" encoding="utf-8"?>
<formControlPr xmlns="http://schemas.microsoft.com/office/spreadsheetml/2009/9/main" objectType="Button" lockText="1"/>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4" Type="http://schemas.openxmlformats.org/officeDocument/2006/relationships/image" Target="../media/image4.png"/></Relationships>
</file>

<file path=xl/drawings/_rels/drawing5.xml.rels><?xml version="1.0" encoding="UTF-8" standalone="yes"?>
<Relationships xmlns="http://schemas.openxmlformats.org/package/2006/relationships"><Relationship Id="rId8" Type="http://schemas.openxmlformats.org/officeDocument/2006/relationships/image" Target="../media/image12.jpeg"/><Relationship Id="rId13" Type="http://schemas.openxmlformats.org/officeDocument/2006/relationships/image" Target="../media/image17.png"/><Relationship Id="rId18" Type="http://schemas.openxmlformats.org/officeDocument/2006/relationships/image" Target="../media/image22.jpeg"/><Relationship Id="rId3" Type="http://schemas.openxmlformats.org/officeDocument/2006/relationships/image" Target="../media/image7.png"/><Relationship Id="rId21" Type="http://schemas.openxmlformats.org/officeDocument/2006/relationships/image" Target="../media/image25.png"/><Relationship Id="rId7" Type="http://schemas.openxmlformats.org/officeDocument/2006/relationships/image" Target="../media/image11.jpeg"/><Relationship Id="rId12" Type="http://schemas.openxmlformats.org/officeDocument/2006/relationships/image" Target="../media/image16.png"/><Relationship Id="rId17" Type="http://schemas.openxmlformats.org/officeDocument/2006/relationships/image" Target="../media/image21.png"/><Relationship Id="rId2" Type="http://schemas.openxmlformats.org/officeDocument/2006/relationships/image" Target="../media/image6.png"/><Relationship Id="rId16" Type="http://schemas.openxmlformats.org/officeDocument/2006/relationships/image" Target="../media/image20.png"/><Relationship Id="rId20" Type="http://schemas.openxmlformats.org/officeDocument/2006/relationships/image" Target="../media/image24.png"/><Relationship Id="rId1" Type="http://schemas.openxmlformats.org/officeDocument/2006/relationships/image" Target="../media/image5.png"/><Relationship Id="rId6" Type="http://schemas.openxmlformats.org/officeDocument/2006/relationships/image" Target="../media/image10.jpeg"/><Relationship Id="rId11" Type="http://schemas.openxmlformats.org/officeDocument/2006/relationships/image" Target="../media/image15.png"/><Relationship Id="rId5" Type="http://schemas.openxmlformats.org/officeDocument/2006/relationships/image" Target="../media/image9.jpeg"/><Relationship Id="rId15" Type="http://schemas.openxmlformats.org/officeDocument/2006/relationships/image" Target="../media/image19.png"/><Relationship Id="rId23" Type="http://schemas.openxmlformats.org/officeDocument/2006/relationships/image" Target="../media/image27.png"/><Relationship Id="rId10" Type="http://schemas.openxmlformats.org/officeDocument/2006/relationships/image" Target="../media/image14.jpeg"/><Relationship Id="rId19" Type="http://schemas.openxmlformats.org/officeDocument/2006/relationships/image" Target="../media/image23.png"/><Relationship Id="rId4" Type="http://schemas.openxmlformats.org/officeDocument/2006/relationships/image" Target="../media/image8.png"/><Relationship Id="rId9" Type="http://schemas.openxmlformats.org/officeDocument/2006/relationships/image" Target="../media/image13.jpeg"/><Relationship Id="rId14" Type="http://schemas.openxmlformats.org/officeDocument/2006/relationships/image" Target="../media/image18.png"/><Relationship Id="rId22" Type="http://schemas.openxmlformats.org/officeDocument/2006/relationships/image" Target="../media/image26.png"/></Relationships>
</file>

<file path=xl/drawings/_rels/drawing6.xml.rels><?xml version="1.0" encoding="UTF-8" standalone="yes"?>
<Relationships xmlns="http://schemas.openxmlformats.org/package/2006/relationships"><Relationship Id="rId1" Type="http://schemas.openxmlformats.org/officeDocument/2006/relationships/image" Target="../media/image28.png"/></Relationships>
</file>

<file path=xl/drawings/drawing1.xml><?xml version="1.0" encoding="utf-8"?>
<xdr:wsDr xmlns:xdr="http://schemas.openxmlformats.org/drawingml/2006/spreadsheetDrawing" xmlns:a="http://schemas.openxmlformats.org/drawingml/2006/main">
  <xdr:twoCellAnchor editAs="oneCell">
    <xdr:from>
      <xdr:col>4</xdr:col>
      <xdr:colOff>149860</xdr:colOff>
      <xdr:row>2</xdr:row>
      <xdr:rowOff>63350</xdr:rowOff>
    </xdr:from>
    <xdr:to>
      <xdr:col>6</xdr:col>
      <xdr:colOff>27940</xdr:colOff>
      <xdr:row>4</xdr:row>
      <xdr:rowOff>316189</xdr:rowOff>
    </xdr:to>
    <xdr:pic>
      <xdr:nvPicPr>
        <xdr:cNvPr id="3" name="Kuva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1071860" y="825350"/>
          <a:ext cx="4297680" cy="159903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662958</xdr:colOff>
      <xdr:row>22</xdr:row>
      <xdr:rowOff>29253</xdr:rowOff>
    </xdr:from>
    <xdr:to>
      <xdr:col>3</xdr:col>
      <xdr:colOff>283374</xdr:colOff>
      <xdr:row>30</xdr:row>
      <xdr:rowOff>33760</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29646" y="6452676"/>
          <a:ext cx="3659809" cy="3023534"/>
        </a:xfrm>
        <a:prstGeom prst="rect">
          <a:avLst/>
        </a:prstGeom>
      </xdr:spPr>
    </xdr:pic>
    <xdr:clientData/>
  </xdr:twoCellAnchor>
  <xdr:twoCellAnchor editAs="oneCell">
    <xdr:from>
      <xdr:col>3</xdr:col>
      <xdr:colOff>1121566</xdr:colOff>
      <xdr:row>24</xdr:row>
      <xdr:rowOff>224803</xdr:rowOff>
    </xdr:from>
    <xdr:to>
      <xdr:col>3</xdr:col>
      <xdr:colOff>3185462</xdr:colOff>
      <xdr:row>30</xdr:row>
      <xdr:rowOff>109393</xdr:rowOff>
    </xdr:to>
    <xdr:pic>
      <xdr:nvPicPr>
        <xdr:cNvPr id="6" name="Kuva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693566" y="9241803"/>
          <a:ext cx="2063896" cy="217059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7</xdr:col>
          <xdr:colOff>444500</xdr:colOff>
          <xdr:row>9</xdr:row>
          <xdr:rowOff>25400</xdr:rowOff>
        </xdr:from>
        <xdr:to>
          <xdr:col>7</xdr:col>
          <xdr:colOff>685800</xdr:colOff>
          <xdr:row>9</xdr:row>
          <xdr:rowOff>355600</xdr:rowOff>
        </xdr:to>
        <xdr:sp macro="" textlink="">
          <xdr:nvSpPr>
            <xdr:cNvPr id="3140" name="Option Button 68" hidden="1">
              <a:extLst>
                <a:ext uri="{63B3BB69-23CF-44E3-9099-C40C66FF867C}">
                  <a14:compatExt spid="_x0000_s3140"/>
                </a:ext>
                <a:ext uri="{FF2B5EF4-FFF2-40B4-BE49-F238E27FC236}">
                  <a16:creationId xmlns:a16="http://schemas.microsoft.com/office/drawing/2014/main" id="{00000000-0008-0000-0100-000044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444500</xdr:colOff>
          <xdr:row>10</xdr:row>
          <xdr:rowOff>25400</xdr:rowOff>
        </xdr:from>
        <xdr:to>
          <xdr:col>7</xdr:col>
          <xdr:colOff>711200</xdr:colOff>
          <xdr:row>10</xdr:row>
          <xdr:rowOff>355600</xdr:rowOff>
        </xdr:to>
        <xdr:sp macro="" textlink="">
          <xdr:nvSpPr>
            <xdr:cNvPr id="3141" name="Option Button 69" hidden="1">
              <a:extLst>
                <a:ext uri="{63B3BB69-23CF-44E3-9099-C40C66FF867C}">
                  <a14:compatExt spid="_x0000_s3141"/>
                </a:ext>
                <a:ext uri="{FF2B5EF4-FFF2-40B4-BE49-F238E27FC236}">
                  <a16:creationId xmlns:a16="http://schemas.microsoft.com/office/drawing/2014/main" id="{00000000-0008-0000-0100-000045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444500</xdr:colOff>
          <xdr:row>11</xdr:row>
          <xdr:rowOff>25400</xdr:rowOff>
        </xdr:from>
        <xdr:to>
          <xdr:col>7</xdr:col>
          <xdr:colOff>698500</xdr:colOff>
          <xdr:row>11</xdr:row>
          <xdr:rowOff>355600</xdr:rowOff>
        </xdr:to>
        <xdr:sp macro="" textlink="">
          <xdr:nvSpPr>
            <xdr:cNvPr id="3142" name="Option Button 70" hidden="1">
              <a:extLst>
                <a:ext uri="{63B3BB69-23CF-44E3-9099-C40C66FF867C}">
                  <a14:compatExt spid="_x0000_s3142"/>
                </a:ext>
                <a:ext uri="{FF2B5EF4-FFF2-40B4-BE49-F238E27FC236}">
                  <a16:creationId xmlns:a16="http://schemas.microsoft.com/office/drawing/2014/main" id="{00000000-0008-0000-0100-000046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444500</xdr:colOff>
          <xdr:row>12</xdr:row>
          <xdr:rowOff>25400</xdr:rowOff>
        </xdr:from>
        <xdr:to>
          <xdr:col>7</xdr:col>
          <xdr:colOff>685800</xdr:colOff>
          <xdr:row>12</xdr:row>
          <xdr:rowOff>355600</xdr:rowOff>
        </xdr:to>
        <xdr:sp macro="" textlink="">
          <xdr:nvSpPr>
            <xdr:cNvPr id="3143" name="Option Button 71" hidden="1">
              <a:extLst>
                <a:ext uri="{63B3BB69-23CF-44E3-9099-C40C66FF867C}">
                  <a14:compatExt spid="_x0000_s3143"/>
                </a:ext>
                <a:ext uri="{FF2B5EF4-FFF2-40B4-BE49-F238E27FC236}">
                  <a16:creationId xmlns:a16="http://schemas.microsoft.com/office/drawing/2014/main" id="{00000000-0008-0000-0100-000047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444500</xdr:colOff>
          <xdr:row>9</xdr:row>
          <xdr:rowOff>12700</xdr:rowOff>
        </xdr:from>
        <xdr:to>
          <xdr:col>8</xdr:col>
          <xdr:colOff>0</xdr:colOff>
          <xdr:row>14</xdr:row>
          <xdr:rowOff>368300</xdr:rowOff>
        </xdr:to>
        <xdr:sp macro="" textlink="">
          <xdr:nvSpPr>
            <xdr:cNvPr id="3145" name="Group Box 73" hidden="1">
              <a:extLst>
                <a:ext uri="{63B3BB69-23CF-44E3-9099-C40C66FF867C}">
                  <a14:compatExt spid="_x0000_s3145"/>
                </a:ext>
                <a:ext uri="{FF2B5EF4-FFF2-40B4-BE49-F238E27FC236}">
                  <a16:creationId xmlns:a16="http://schemas.microsoft.com/office/drawing/2014/main" id="{00000000-0008-0000-0100-0000490C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0</xdr:colOff>
          <xdr:row>15</xdr:row>
          <xdr:rowOff>0</xdr:rowOff>
        </xdr:from>
        <xdr:to>
          <xdr:col>8</xdr:col>
          <xdr:colOff>0</xdr:colOff>
          <xdr:row>15</xdr:row>
          <xdr:rowOff>368300</xdr:rowOff>
        </xdr:to>
        <xdr:sp macro="" textlink="">
          <xdr:nvSpPr>
            <xdr:cNvPr id="3152" name="Group Box 80" hidden="1">
              <a:extLst>
                <a:ext uri="{63B3BB69-23CF-44E3-9099-C40C66FF867C}">
                  <a14:compatExt spid="_x0000_s3152"/>
                </a:ext>
                <a:ext uri="{FF2B5EF4-FFF2-40B4-BE49-F238E27FC236}">
                  <a16:creationId xmlns:a16="http://schemas.microsoft.com/office/drawing/2014/main" id="{00000000-0008-0000-0100-0000500C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444500</xdr:colOff>
          <xdr:row>13</xdr:row>
          <xdr:rowOff>25400</xdr:rowOff>
        </xdr:from>
        <xdr:to>
          <xdr:col>7</xdr:col>
          <xdr:colOff>685800</xdr:colOff>
          <xdr:row>13</xdr:row>
          <xdr:rowOff>355600</xdr:rowOff>
        </xdr:to>
        <xdr:sp macro="" textlink="">
          <xdr:nvSpPr>
            <xdr:cNvPr id="3153" name="Option Button 81" hidden="1">
              <a:extLst>
                <a:ext uri="{63B3BB69-23CF-44E3-9099-C40C66FF867C}">
                  <a14:compatExt spid="_x0000_s3153"/>
                </a:ext>
                <a:ext uri="{FF2B5EF4-FFF2-40B4-BE49-F238E27FC236}">
                  <a16:creationId xmlns:a16="http://schemas.microsoft.com/office/drawing/2014/main" id="{00000000-0008-0000-0100-000051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444500</xdr:colOff>
          <xdr:row>14</xdr:row>
          <xdr:rowOff>25400</xdr:rowOff>
        </xdr:from>
        <xdr:to>
          <xdr:col>7</xdr:col>
          <xdr:colOff>711200</xdr:colOff>
          <xdr:row>14</xdr:row>
          <xdr:rowOff>355600</xdr:rowOff>
        </xdr:to>
        <xdr:sp macro="" textlink="">
          <xdr:nvSpPr>
            <xdr:cNvPr id="3154" name="Option Button 82" hidden="1">
              <a:extLst>
                <a:ext uri="{63B3BB69-23CF-44E3-9099-C40C66FF867C}">
                  <a14:compatExt spid="_x0000_s3154"/>
                </a:ext>
                <a:ext uri="{FF2B5EF4-FFF2-40B4-BE49-F238E27FC236}">
                  <a16:creationId xmlns:a16="http://schemas.microsoft.com/office/drawing/2014/main" id="{00000000-0008-0000-0100-0000520C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469900</xdr:colOff>
          <xdr:row>17</xdr:row>
          <xdr:rowOff>368300</xdr:rowOff>
        </xdr:from>
        <xdr:to>
          <xdr:col>6</xdr:col>
          <xdr:colOff>0</xdr:colOff>
          <xdr:row>18</xdr:row>
          <xdr:rowOff>368300</xdr:rowOff>
        </xdr:to>
        <xdr:sp macro="" textlink="">
          <xdr:nvSpPr>
            <xdr:cNvPr id="21532" name="Check Box 28" hidden="1">
              <a:extLst>
                <a:ext uri="{63B3BB69-23CF-44E3-9099-C40C66FF867C}">
                  <a14:compatExt spid="_x0000_s21532"/>
                </a:ext>
                <a:ext uri="{FF2B5EF4-FFF2-40B4-BE49-F238E27FC236}">
                  <a16:creationId xmlns:a16="http://schemas.microsoft.com/office/drawing/2014/main" id="{00000000-0008-0000-0300-00001C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16</xdr:row>
          <xdr:rowOff>368300</xdr:rowOff>
        </xdr:from>
        <xdr:to>
          <xdr:col>6</xdr:col>
          <xdr:colOff>0</xdr:colOff>
          <xdr:row>17</xdr:row>
          <xdr:rowOff>368300</xdr:rowOff>
        </xdr:to>
        <xdr:sp macro="" textlink="">
          <xdr:nvSpPr>
            <xdr:cNvPr id="21535" name="Check Box 31" hidden="1">
              <a:extLst>
                <a:ext uri="{63B3BB69-23CF-44E3-9099-C40C66FF867C}">
                  <a14:compatExt spid="_x0000_s21535"/>
                </a:ext>
                <a:ext uri="{FF2B5EF4-FFF2-40B4-BE49-F238E27FC236}">
                  <a16:creationId xmlns:a16="http://schemas.microsoft.com/office/drawing/2014/main" id="{00000000-0008-0000-0300-00001F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19</xdr:row>
          <xdr:rowOff>12700</xdr:rowOff>
        </xdr:from>
        <xdr:to>
          <xdr:col>6</xdr:col>
          <xdr:colOff>0</xdr:colOff>
          <xdr:row>20</xdr:row>
          <xdr:rowOff>12700</xdr:rowOff>
        </xdr:to>
        <xdr:sp macro="" textlink="">
          <xdr:nvSpPr>
            <xdr:cNvPr id="21537" name="Check Box 33" hidden="1">
              <a:extLst>
                <a:ext uri="{63B3BB69-23CF-44E3-9099-C40C66FF867C}">
                  <a14:compatExt spid="_x0000_s21537"/>
                </a:ext>
                <a:ext uri="{FF2B5EF4-FFF2-40B4-BE49-F238E27FC236}">
                  <a16:creationId xmlns:a16="http://schemas.microsoft.com/office/drawing/2014/main" id="{00000000-0008-0000-0300-000021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26</xdr:row>
          <xdr:rowOff>0</xdr:rowOff>
        </xdr:from>
        <xdr:to>
          <xdr:col>6</xdr:col>
          <xdr:colOff>0</xdr:colOff>
          <xdr:row>27</xdr:row>
          <xdr:rowOff>0</xdr:rowOff>
        </xdr:to>
        <xdr:sp macro="" textlink="">
          <xdr:nvSpPr>
            <xdr:cNvPr id="21538" name="Check Box 34" hidden="1">
              <a:extLst>
                <a:ext uri="{63B3BB69-23CF-44E3-9099-C40C66FF867C}">
                  <a14:compatExt spid="_x0000_s21538"/>
                </a:ext>
                <a:ext uri="{FF2B5EF4-FFF2-40B4-BE49-F238E27FC236}">
                  <a16:creationId xmlns:a16="http://schemas.microsoft.com/office/drawing/2014/main" id="{00000000-0008-0000-0300-000022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27</xdr:row>
          <xdr:rowOff>368300</xdr:rowOff>
        </xdr:from>
        <xdr:to>
          <xdr:col>6</xdr:col>
          <xdr:colOff>0</xdr:colOff>
          <xdr:row>28</xdr:row>
          <xdr:rowOff>368300</xdr:rowOff>
        </xdr:to>
        <xdr:sp macro="" textlink="">
          <xdr:nvSpPr>
            <xdr:cNvPr id="21539" name="Check Box 35" hidden="1">
              <a:extLst>
                <a:ext uri="{63B3BB69-23CF-44E3-9099-C40C66FF867C}">
                  <a14:compatExt spid="_x0000_s21539"/>
                </a:ext>
                <a:ext uri="{FF2B5EF4-FFF2-40B4-BE49-F238E27FC236}">
                  <a16:creationId xmlns:a16="http://schemas.microsoft.com/office/drawing/2014/main" id="{00000000-0008-0000-0300-000023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26</xdr:row>
          <xdr:rowOff>368300</xdr:rowOff>
        </xdr:from>
        <xdr:to>
          <xdr:col>6</xdr:col>
          <xdr:colOff>0</xdr:colOff>
          <xdr:row>27</xdr:row>
          <xdr:rowOff>368300</xdr:rowOff>
        </xdr:to>
        <xdr:sp macro="" textlink="">
          <xdr:nvSpPr>
            <xdr:cNvPr id="21540" name="Check Box 36" hidden="1">
              <a:extLst>
                <a:ext uri="{63B3BB69-23CF-44E3-9099-C40C66FF867C}">
                  <a14:compatExt spid="_x0000_s21540"/>
                </a:ext>
                <a:ext uri="{FF2B5EF4-FFF2-40B4-BE49-F238E27FC236}">
                  <a16:creationId xmlns:a16="http://schemas.microsoft.com/office/drawing/2014/main" id="{00000000-0008-0000-0300-000024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5</xdr:row>
          <xdr:rowOff>355600</xdr:rowOff>
        </xdr:from>
        <xdr:to>
          <xdr:col>6</xdr:col>
          <xdr:colOff>0</xdr:colOff>
          <xdr:row>6</xdr:row>
          <xdr:rowOff>355600</xdr:rowOff>
        </xdr:to>
        <xdr:sp macro="" textlink="">
          <xdr:nvSpPr>
            <xdr:cNvPr id="21545" name="Check Box 41" hidden="1">
              <a:extLst>
                <a:ext uri="{63B3BB69-23CF-44E3-9099-C40C66FF867C}">
                  <a14:compatExt spid="_x0000_s21545"/>
                </a:ext>
                <a:ext uri="{FF2B5EF4-FFF2-40B4-BE49-F238E27FC236}">
                  <a16:creationId xmlns:a16="http://schemas.microsoft.com/office/drawing/2014/main" id="{00000000-0008-0000-0300-000029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5</xdr:row>
          <xdr:rowOff>0</xdr:rowOff>
        </xdr:from>
        <xdr:to>
          <xdr:col>6</xdr:col>
          <xdr:colOff>0</xdr:colOff>
          <xdr:row>6</xdr:row>
          <xdr:rowOff>0</xdr:rowOff>
        </xdr:to>
        <xdr:sp macro="" textlink="">
          <xdr:nvSpPr>
            <xdr:cNvPr id="21546" name="Check Box 42" hidden="1">
              <a:extLst>
                <a:ext uri="{63B3BB69-23CF-44E3-9099-C40C66FF867C}">
                  <a14:compatExt spid="_x0000_s21546"/>
                </a:ext>
                <a:ext uri="{FF2B5EF4-FFF2-40B4-BE49-F238E27FC236}">
                  <a16:creationId xmlns:a16="http://schemas.microsoft.com/office/drawing/2014/main" id="{00000000-0008-0000-0300-00002A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12</xdr:row>
          <xdr:rowOff>12700</xdr:rowOff>
        </xdr:from>
        <xdr:to>
          <xdr:col>6</xdr:col>
          <xdr:colOff>0</xdr:colOff>
          <xdr:row>13</xdr:row>
          <xdr:rowOff>12700</xdr:rowOff>
        </xdr:to>
        <xdr:sp macro="" textlink="">
          <xdr:nvSpPr>
            <xdr:cNvPr id="21548" name="Check Box 44" hidden="1">
              <a:extLst>
                <a:ext uri="{63B3BB69-23CF-44E3-9099-C40C66FF867C}">
                  <a14:compatExt spid="_x0000_s21548"/>
                </a:ext>
                <a:ext uri="{FF2B5EF4-FFF2-40B4-BE49-F238E27FC236}">
                  <a16:creationId xmlns:a16="http://schemas.microsoft.com/office/drawing/2014/main" id="{00000000-0008-0000-0300-00002C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12</xdr:row>
          <xdr:rowOff>368300</xdr:rowOff>
        </xdr:from>
        <xdr:to>
          <xdr:col>6</xdr:col>
          <xdr:colOff>0</xdr:colOff>
          <xdr:row>13</xdr:row>
          <xdr:rowOff>368300</xdr:rowOff>
        </xdr:to>
        <xdr:sp macro="" textlink="">
          <xdr:nvSpPr>
            <xdr:cNvPr id="21550" name="Check Box 46" hidden="1">
              <a:extLst>
                <a:ext uri="{63B3BB69-23CF-44E3-9099-C40C66FF867C}">
                  <a14:compatExt spid="_x0000_s21550"/>
                </a:ext>
                <a:ext uri="{FF2B5EF4-FFF2-40B4-BE49-F238E27FC236}">
                  <a16:creationId xmlns:a16="http://schemas.microsoft.com/office/drawing/2014/main" id="{00000000-0008-0000-0300-00002E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13</xdr:row>
          <xdr:rowOff>368300</xdr:rowOff>
        </xdr:from>
        <xdr:to>
          <xdr:col>6</xdr:col>
          <xdr:colOff>0</xdr:colOff>
          <xdr:row>14</xdr:row>
          <xdr:rowOff>368300</xdr:rowOff>
        </xdr:to>
        <xdr:sp macro="" textlink="">
          <xdr:nvSpPr>
            <xdr:cNvPr id="21551" name="Check Box 47" hidden="1">
              <a:extLst>
                <a:ext uri="{63B3BB69-23CF-44E3-9099-C40C66FF867C}">
                  <a14:compatExt spid="_x0000_s21551"/>
                </a:ext>
                <a:ext uri="{FF2B5EF4-FFF2-40B4-BE49-F238E27FC236}">
                  <a16:creationId xmlns:a16="http://schemas.microsoft.com/office/drawing/2014/main" id="{00000000-0008-0000-0300-00002F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14</xdr:row>
          <xdr:rowOff>368300</xdr:rowOff>
        </xdr:from>
        <xdr:to>
          <xdr:col>6</xdr:col>
          <xdr:colOff>0</xdr:colOff>
          <xdr:row>15</xdr:row>
          <xdr:rowOff>368300</xdr:rowOff>
        </xdr:to>
        <xdr:sp macro="" textlink="">
          <xdr:nvSpPr>
            <xdr:cNvPr id="21552" name="Check Box 48" hidden="1">
              <a:extLst>
                <a:ext uri="{63B3BB69-23CF-44E3-9099-C40C66FF867C}">
                  <a14:compatExt spid="_x0000_s21552"/>
                </a:ext>
                <a:ext uri="{FF2B5EF4-FFF2-40B4-BE49-F238E27FC236}">
                  <a16:creationId xmlns:a16="http://schemas.microsoft.com/office/drawing/2014/main" id="{00000000-0008-0000-0300-000030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10</xdr:row>
          <xdr:rowOff>0</xdr:rowOff>
        </xdr:from>
        <xdr:to>
          <xdr:col>6</xdr:col>
          <xdr:colOff>0</xdr:colOff>
          <xdr:row>11</xdr:row>
          <xdr:rowOff>0</xdr:rowOff>
        </xdr:to>
        <xdr:sp macro="" textlink="">
          <xdr:nvSpPr>
            <xdr:cNvPr id="21553" name="Check Box 49" hidden="1">
              <a:extLst>
                <a:ext uri="{63B3BB69-23CF-44E3-9099-C40C66FF867C}">
                  <a14:compatExt spid="_x0000_s21553"/>
                </a:ext>
                <a:ext uri="{FF2B5EF4-FFF2-40B4-BE49-F238E27FC236}">
                  <a16:creationId xmlns:a16="http://schemas.microsoft.com/office/drawing/2014/main" id="{00000000-0008-0000-0300-000031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6</xdr:row>
          <xdr:rowOff>381000</xdr:rowOff>
        </xdr:from>
        <xdr:to>
          <xdr:col>5</xdr:col>
          <xdr:colOff>1193800</xdr:colOff>
          <xdr:row>8</xdr:row>
          <xdr:rowOff>0</xdr:rowOff>
        </xdr:to>
        <xdr:sp macro="" textlink="">
          <xdr:nvSpPr>
            <xdr:cNvPr id="21557" name="Check Box 53" hidden="1">
              <a:extLst>
                <a:ext uri="{63B3BB69-23CF-44E3-9099-C40C66FF867C}">
                  <a14:compatExt spid="_x0000_s21557"/>
                </a:ext>
                <a:ext uri="{FF2B5EF4-FFF2-40B4-BE49-F238E27FC236}">
                  <a16:creationId xmlns:a16="http://schemas.microsoft.com/office/drawing/2014/main" id="{00000000-0008-0000-0300-000035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24</xdr:row>
          <xdr:rowOff>0</xdr:rowOff>
        </xdr:from>
        <xdr:to>
          <xdr:col>6</xdr:col>
          <xdr:colOff>0</xdr:colOff>
          <xdr:row>25</xdr:row>
          <xdr:rowOff>0</xdr:rowOff>
        </xdr:to>
        <xdr:sp macro="" textlink="">
          <xdr:nvSpPr>
            <xdr:cNvPr id="21570" name="Check Box 66" hidden="1">
              <a:extLst>
                <a:ext uri="{63B3BB69-23CF-44E3-9099-C40C66FF867C}">
                  <a14:compatExt spid="_x0000_s21570"/>
                </a:ext>
                <a:ext uri="{FF2B5EF4-FFF2-40B4-BE49-F238E27FC236}">
                  <a16:creationId xmlns:a16="http://schemas.microsoft.com/office/drawing/2014/main" id="{00000000-0008-0000-0300-000042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7</xdr:row>
          <xdr:rowOff>381000</xdr:rowOff>
        </xdr:from>
        <xdr:to>
          <xdr:col>5</xdr:col>
          <xdr:colOff>1193800</xdr:colOff>
          <xdr:row>9</xdr:row>
          <xdr:rowOff>0</xdr:rowOff>
        </xdr:to>
        <xdr:sp macro="" textlink="">
          <xdr:nvSpPr>
            <xdr:cNvPr id="21583" name="Check Box 79" hidden="1">
              <a:extLst>
                <a:ext uri="{63B3BB69-23CF-44E3-9099-C40C66FF867C}">
                  <a14:compatExt spid="_x0000_s21583"/>
                </a:ext>
                <a:ext uri="{FF2B5EF4-FFF2-40B4-BE49-F238E27FC236}">
                  <a16:creationId xmlns:a16="http://schemas.microsoft.com/office/drawing/2014/main" id="{00000000-0008-0000-0300-00004F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24</xdr:row>
          <xdr:rowOff>0</xdr:rowOff>
        </xdr:from>
        <xdr:to>
          <xdr:col>6</xdr:col>
          <xdr:colOff>0</xdr:colOff>
          <xdr:row>25</xdr:row>
          <xdr:rowOff>0</xdr:rowOff>
        </xdr:to>
        <xdr:sp macro="" textlink="">
          <xdr:nvSpPr>
            <xdr:cNvPr id="21595" name="Check Box 91" hidden="1">
              <a:extLst>
                <a:ext uri="{63B3BB69-23CF-44E3-9099-C40C66FF867C}">
                  <a14:compatExt spid="_x0000_s21595"/>
                </a:ext>
                <a:ext uri="{FF2B5EF4-FFF2-40B4-BE49-F238E27FC236}">
                  <a16:creationId xmlns:a16="http://schemas.microsoft.com/office/drawing/2014/main" id="{00000000-0008-0000-0300-00005B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24</xdr:row>
          <xdr:rowOff>0</xdr:rowOff>
        </xdr:from>
        <xdr:to>
          <xdr:col>6</xdr:col>
          <xdr:colOff>0</xdr:colOff>
          <xdr:row>25</xdr:row>
          <xdr:rowOff>0</xdr:rowOff>
        </xdr:to>
        <xdr:sp macro="" textlink="">
          <xdr:nvSpPr>
            <xdr:cNvPr id="21596" name="Check Box 92" hidden="1">
              <a:extLst>
                <a:ext uri="{63B3BB69-23CF-44E3-9099-C40C66FF867C}">
                  <a14:compatExt spid="_x0000_s21596"/>
                </a:ext>
                <a:ext uri="{FF2B5EF4-FFF2-40B4-BE49-F238E27FC236}">
                  <a16:creationId xmlns:a16="http://schemas.microsoft.com/office/drawing/2014/main" id="{00000000-0008-0000-0300-00005C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20</xdr:row>
          <xdr:rowOff>12700</xdr:rowOff>
        </xdr:from>
        <xdr:to>
          <xdr:col>6</xdr:col>
          <xdr:colOff>0</xdr:colOff>
          <xdr:row>21</xdr:row>
          <xdr:rowOff>12700</xdr:rowOff>
        </xdr:to>
        <xdr:sp macro="" textlink="">
          <xdr:nvSpPr>
            <xdr:cNvPr id="21599" name="Check Box 95" hidden="1">
              <a:extLst>
                <a:ext uri="{63B3BB69-23CF-44E3-9099-C40C66FF867C}">
                  <a14:compatExt spid="_x0000_s21599"/>
                </a:ext>
                <a:ext uri="{FF2B5EF4-FFF2-40B4-BE49-F238E27FC236}">
                  <a16:creationId xmlns:a16="http://schemas.microsoft.com/office/drawing/2014/main" id="{00000000-0008-0000-0300-00005F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21</xdr:row>
          <xdr:rowOff>12700</xdr:rowOff>
        </xdr:from>
        <xdr:to>
          <xdr:col>6</xdr:col>
          <xdr:colOff>0</xdr:colOff>
          <xdr:row>22</xdr:row>
          <xdr:rowOff>12700</xdr:rowOff>
        </xdr:to>
        <xdr:sp macro="" textlink="">
          <xdr:nvSpPr>
            <xdr:cNvPr id="21600" name="Check Box 96" hidden="1">
              <a:extLst>
                <a:ext uri="{63B3BB69-23CF-44E3-9099-C40C66FF867C}">
                  <a14:compatExt spid="_x0000_s21600"/>
                </a:ext>
                <a:ext uri="{FF2B5EF4-FFF2-40B4-BE49-F238E27FC236}">
                  <a16:creationId xmlns:a16="http://schemas.microsoft.com/office/drawing/2014/main" id="{00000000-0008-0000-0300-000060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22</xdr:row>
          <xdr:rowOff>12700</xdr:rowOff>
        </xdr:from>
        <xdr:to>
          <xdr:col>6</xdr:col>
          <xdr:colOff>0</xdr:colOff>
          <xdr:row>23</xdr:row>
          <xdr:rowOff>12700</xdr:rowOff>
        </xdr:to>
        <xdr:sp macro="" textlink="">
          <xdr:nvSpPr>
            <xdr:cNvPr id="21601" name="Check Box 97" hidden="1">
              <a:extLst>
                <a:ext uri="{63B3BB69-23CF-44E3-9099-C40C66FF867C}">
                  <a14:compatExt spid="_x0000_s21601"/>
                </a:ext>
                <a:ext uri="{FF2B5EF4-FFF2-40B4-BE49-F238E27FC236}">
                  <a16:creationId xmlns:a16="http://schemas.microsoft.com/office/drawing/2014/main" id="{00000000-0008-0000-0300-000061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23</xdr:row>
          <xdr:rowOff>12700</xdr:rowOff>
        </xdr:from>
        <xdr:to>
          <xdr:col>6</xdr:col>
          <xdr:colOff>0</xdr:colOff>
          <xdr:row>24</xdr:row>
          <xdr:rowOff>12700</xdr:rowOff>
        </xdr:to>
        <xdr:sp macro="" textlink="">
          <xdr:nvSpPr>
            <xdr:cNvPr id="21602" name="Check Box 98" hidden="1">
              <a:extLst>
                <a:ext uri="{63B3BB69-23CF-44E3-9099-C40C66FF867C}">
                  <a14:compatExt spid="_x0000_s21602"/>
                </a:ext>
                <a:ext uri="{FF2B5EF4-FFF2-40B4-BE49-F238E27FC236}">
                  <a16:creationId xmlns:a16="http://schemas.microsoft.com/office/drawing/2014/main" id="{00000000-0008-0000-0300-000062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469900</xdr:colOff>
          <xdr:row>10</xdr:row>
          <xdr:rowOff>368300</xdr:rowOff>
        </xdr:from>
        <xdr:to>
          <xdr:col>6</xdr:col>
          <xdr:colOff>0</xdr:colOff>
          <xdr:row>11</xdr:row>
          <xdr:rowOff>368300</xdr:rowOff>
        </xdr:to>
        <xdr:sp macro="" textlink="">
          <xdr:nvSpPr>
            <xdr:cNvPr id="21603" name="Check Box 99" hidden="1">
              <a:extLst>
                <a:ext uri="{63B3BB69-23CF-44E3-9099-C40C66FF867C}">
                  <a14:compatExt spid="_x0000_s21603"/>
                </a:ext>
                <a:ext uri="{FF2B5EF4-FFF2-40B4-BE49-F238E27FC236}">
                  <a16:creationId xmlns:a16="http://schemas.microsoft.com/office/drawing/2014/main" id="{00000000-0008-0000-0300-0000635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xdr:from>
      <xdr:col>2</xdr:col>
      <xdr:colOff>0</xdr:colOff>
      <xdr:row>27</xdr:row>
      <xdr:rowOff>0</xdr:rowOff>
    </xdr:from>
    <xdr:to>
      <xdr:col>6</xdr:col>
      <xdr:colOff>0</xdr:colOff>
      <xdr:row>38</xdr:row>
      <xdr:rowOff>79375</xdr:rowOff>
    </xdr:to>
    <xdr:graphicFrame macro="">
      <xdr:nvGraphicFramePr>
        <xdr:cNvPr id="4" name="Kaavio 3">
          <a:extLst>
            <a:ext uri="{FF2B5EF4-FFF2-40B4-BE49-F238E27FC236}">
              <a16:creationId xmlns:a16="http://schemas.microsoft.com/office/drawing/2014/main"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10583</xdr:colOff>
      <xdr:row>27</xdr:row>
      <xdr:rowOff>0</xdr:rowOff>
    </xdr:from>
    <xdr:to>
      <xdr:col>10</xdr:col>
      <xdr:colOff>0</xdr:colOff>
      <xdr:row>50</xdr:row>
      <xdr:rowOff>10582</xdr:rowOff>
    </xdr:to>
    <xdr:graphicFrame macro="">
      <xdr:nvGraphicFramePr>
        <xdr:cNvPr id="5" name="Kaavio 4">
          <a:extLst>
            <a:ext uri="{FF2B5EF4-FFF2-40B4-BE49-F238E27FC236}">
              <a16:creationId xmlns:a16="http://schemas.microsoft.com/office/drawing/2014/main" id="{00000000-0008-0000-04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253999</xdr:colOff>
      <xdr:row>38</xdr:row>
      <xdr:rowOff>158750</xdr:rowOff>
    </xdr:from>
    <xdr:to>
      <xdr:col>6</xdr:col>
      <xdr:colOff>0</xdr:colOff>
      <xdr:row>50</xdr:row>
      <xdr:rowOff>18143</xdr:rowOff>
    </xdr:to>
    <xdr:graphicFrame macro="">
      <xdr:nvGraphicFramePr>
        <xdr:cNvPr id="6" name="Chart 6">
          <a:extLst>
            <a:ext uri="{FF2B5EF4-FFF2-40B4-BE49-F238E27FC236}">
              <a16:creationId xmlns:a16="http://schemas.microsoft.com/office/drawing/2014/main" id="{00000000-0008-0000-04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8</xdr:col>
      <xdr:colOff>187266</xdr:colOff>
      <xdr:row>2</xdr:row>
      <xdr:rowOff>60083</xdr:rowOff>
    </xdr:from>
    <xdr:to>
      <xdr:col>10</xdr:col>
      <xdr:colOff>190500</xdr:colOff>
      <xdr:row>5</xdr:row>
      <xdr:rowOff>197091</xdr:rowOff>
    </xdr:to>
    <xdr:pic>
      <xdr:nvPicPr>
        <xdr:cNvPr id="2" name="Kuva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9077266" y="568083"/>
          <a:ext cx="2416234" cy="8990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0</xdr:colOff>
      <xdr:row>23</xdr:row>
      <xdr:rowOff>304800</xdr:rowOff>
    </xdr:from>
    <xdr:to>
      <xdr:col>6</xdr:col>
      <xdr:colOff>12700</xdr:colOff>
      <xdr:row>24</xdr:row>
      <xdr:rowOff>0</xdr:rowOff>
    </xdr:to>
    <xdr:pic>
      <xdr:nvPicPr>
        <xdr:cNvPr id="20" name="Picture 19">
          <a:extLst>
            <a:ext uri="{FF2B5EF4-FFF2-40B4-BE49-F238E27FC236}">
              <a16:creationId xmlns:a16="http://schemas.microsoft.com/office/drawing/2014/main" id="{00000000-0008-0000-0600-000014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0375900" y="39674800"/>
          <a:ext cx="2743200" cy="2743200"/>
        </a:xfrm>
        <a:prstGeom prst="rect">
          <a:avLst/>
        </a:prstGeom>
      </xdr:spPr>
    </xdr:pic>
    <xdr:clientData/>
  </xdr:twoCellAnchor>
  <xdr:twoCellAnchor editAs="oneCell">
    <xdr:from>
      <xdr:col>3</xdr:col>
      <xdr:colOff>0</xdr:colOff>
      <xdr:row>17</xdr:row>
      <xdr:rowOff>304800</xdr:rowOff>
    </xdr:from>
    <xdr:to>
      <xdr:col>4</xdr:col>
      <xdr:colOff>15874</xdr:colOff>
      <xdr:row>18</xdr:row>
      <xdr:rowOff>0</xdr:rowOff>
    </xdr:to>
    <xdr:pic>
      <xdr:nvPicPr>
        <xdr:cNvPr id="17" name="Picture 16">
          <a:extLst>
            <a:ext uri="{FF2B5EF4-FFF2-40B4-BE49-F238E27FC236}">
              <a16:creationId xmlns:a16="http://schemas.microsoft.com/office/drawing/2014/main" id="{00000000-0008-0000-0600-000011000000}"/>
            </a:ext>
          </a:extLst>
        </xdr:cNvPr>
        <xdr:cNvPicPr>
          <a:picLocks/>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7264400" y="29768800"/>
          <a:ext cx="2746374" cy="2743200"/>
        </a:xfrm>
        <a:prstGeom prst="rect">
          <a:avLst/>
        </a:prstGeom>
      </xdr:spPr>
    </xdr:pic>
    <xdr:clientData/>
  </xdr:twoCellAnchor>
  <xdr:twoCellAnchor editAs="oneCell">
    <xdr:from>
      <xdr:col>5</xdr:col>
      <xdr:colOff>0</xdr:colOff>
      <xdr:row>13</xdr:row>
      <xdr:rowOff>305624</xdr:rowOff>
    </xdr:from>
    <xdr:to>
      <xdr:col>6</xdr:col>
      <xdr:colOff>12700</xdr:colOff>
      <xdr:row>14</xdr:row>
      <xdr:rowOff>0</xdr:rowOff>
    </xdr:to>
    <xdr:pic>
      <xdr:nvPicPr>
        <xdr:cNvPr id="9" name="Picture 8">
          <a:extLst>
            <a:ext uri="{FF2B5EF4-FFF2-40B4-BE49-F238E27FC236}">
              <a16:creationId xmlns:a16="http://schemas.microsoft.com/office/drawing/2014/main" id="{00000000-0008-0000-0600-000009000000}"/>
            </a:ext>
          </a:extLst>
        </xdr:cNvPr>
        <xdr:cNvPicPr>
          <a:picLocks/>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10375900" y="23165624"/>
          <a:ext cx="2743200" cy="2742376"/>
        </a:xfrm>
        <a:prstGeom prst="rect">
          <a:avLst/>
        </a:prstGeom>
      </xdr:spPr>
    </xdr:pic>
    <xdr:clientData/>
  </xdr:twoCellAnchor>
  <xdr:twoCellAnchor editAs="oneCell">
    <xdr:from>
      <xdr:col>3</xdr:col>
      <xdr:colOff>0</xdr:colOff>
      <xdr:row>11</xdr:row>
      <xdr:rowOff>685800</xdr:rowOff>
    </xdr:from>
    <xdr:to>
      <xdr:col>4</xdr:col>
      <xdr:colOff>12700</xdr:colOff>
      <xdr:row>12</xdr:row>
      <xdr:rowOff>0</xdr:rowOff>
    </xdr:to>
    <xdr:pic>
      <xdr:nvPicPr>
        <xdr:cNvPr id="7" name="Picture 6">
          <a:extLst>
            <a:ext uri="{FF2B5EF4-FFF2-40B4-BE49-F238E27FC236}">
              <a16:creationId xmlns:a16="http://schemas.microsoft.com/office/drawing/2014/main" id="{00000000-0008-0000-0600-000007000000}"/>
            </a:ext>
          </a:extLst>
        </xdr:cNvPr>
        <xdr:cNvPicPr>
          <a:picLocks/>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7708900" y="19862800"/>
          <a:ext cx="2743200" cy="2743200"/>
        </a:xfrm>
        <a:prstGeom prst="rect">
          <a:avLst/>
        </a:prstGeom>
      </xdr:spPr>
    </xdr:pic>
    <xdr:clientData/>
  </xdr:twoCellAnchor>
  <mc:AlternateContent xmlns:mc="http://schemas.openxmlformats.org/markup-compatibility/2006">
    <mc:Choice xmlns:a14="http://schemas.microsoft.com/office/drawing/2010/main" Requires="a14">
      <xdr:twoCellAnchor>
        <xdr:from>
          <xdr:col>0</xdr:col>
          <xdr:colOff>12700</xdr:colOff>
          <xdr:row>6</xdr:row>
          <xdr:rowOff>0</xdr:rowOff>
        </xdr:from>
        <xdr:to>
          <xdr:col>1</xdr:col>
          <xdr:colOff>12700</xdr:colOff>
          <xdr:row>6</xdr:row>
          <xdr:rowOff>0</xdr:rowOff>
        </xdr:to>
        <xdr:sp macro="" textlink="">
          <xdr:nvSpPr>
            <xdr:cNvPr id="16387" name="Button 3" hidden="1">
              <a:extLst>
                <a:ext uri="{63B3BB69-23CF-44E3-9099-C40C66FF867C}">
                  <a14:compatExt spid="_x0000_s16387"/>
                </a:ext>
                <a:ext uri="{FF2B5EF4-FFF2-40B4-BE49-F238E27FC236}">
                  <a16:creationId xmlns:a16="http://schemas.microsoft.com/office/drawing/2014/main" id="{00000000-0008-0000-0600-000003400000}"/>
                </a:ext>
              </a:extLst>
            </xdr:cNvPr>
            <xdr:cNvSpPr/>
          </xdr:nvSpPr>
          <xdr:spPr bwMode="auto">
            <a:xfrm>
              <a:off x="0" y="0"/>
              <a:ext cx="0" cy="0"/>
            </a:xfrm>
            <a:prstGeom prst="rect">
              <a:avLst/>
            </a:prstGeom>
            <a:noFill/>
            <a:ln w="9525">
              <a:miter lim="800000"/>
              <a:headEnd/>
              <a:tailEnd/>
            </a:ln>
          </xdr:spPr>
          <xdr:txBody>
            <a:bodyPr vertOverflow="clip" wrap="square" lIns="27432" tIns="22860" rIns="27432" bIns="22860" anchor="ctr" upright="1"/>
            <a:lstStyle/>
            <a:p>
              <a:pPr algn="ctr" rtl="0">
                <a:defRPr sz="1000"/>
              </a:pPr>
              <a:r>
                <a:rPr lang="fi-FI" sz="1100" b="0" i="0" u="none" strike="noStrike" baseline="0">
                  <a:solidFill>
                    <a:srgbClr val="000000"/>
                  </a:solidFill>
                  <a:latin typeface="Calibri" pitchFamily="2" charset="0"/>
                  <a:cs typeface="Calibri" pitchFamily="2" charset="0"/>
                </a:rPr>
                <a:t>Back to       Green Factor</a:t>
              </a:r>
            </a:p>
          </xdr:txBody>
        </xdr:sp>
        <xdr:clientData fPrintsWithSheet="0"/>
      </xdr:twoCellAnchor>
    </mc:Choice>
    <mc:Fallback/>
  </mc:AlternateContent>
  <xdr:twoCellAnchor editAs="oneCell">
    <xdr:from>
      <xdr:col>5</xdr:col>
      <xdr:colOff>0</xdr:colOff>
      <xdr:row>9</xdr:row>
      <xdr:rowOff>586443</xdr:rowOff>
    </xdr:from>
    <xdr:to>
      <xdr:col>6</xdr:col>
      <xdr:colOff>12700</xdr:colOff>
      <xdr:row>9</xdr:row>
      <xdr:rowOff>3327400</xdr:rowOff>
    </xdr:to>
    <xdr:pic>
      <xdr:nvPicPr>
        <xdr:cNvPr id="39" name="Picture 38">
          <a:extLst>
            <a:ext uri="{FF2B5EF4-FFF2-40B4-BE49-F238E27FC236}">
              <a16:creationId xmlns:a16="http://schemas.microsoft.com/office/drawing/2014/main" id="{00000000-0008-0000-0600-000027000000}"/>
            </a:ext>
          </a:extLst>
        </xdr:cNvPr>
        <xdr:cNvPicPr>
          <a:picLocks/>
        </xdr:cNvPicPr>
      </xdr:nvPicPr>
      <xdr:blipFill rotWithShape="1">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10883900" y="16080443"/>
          <a:ext cx="2743200" cy="2740957"/>
        </a:xfrm>
        <a:prstGeom prst="ellipse">
          <a:avLst/>
        </a:prstGeom>
      </xdr:spPr>
    </xdr:pic>
    <xdr:clientData/>
  </xdr:twoCellAnchor>
  <xdr:twoCellAnchor editAs="oneCell">
    <xdr:from>
      <xdr:col>7</xdr:col>
      <xdr:colOff>0</xdr:colOff>
      <xdr:row>11</xdr:row>
      <xdr:rowOff>685800</xdr:rowOff>
    </xdr:from>
    <xdr:to>
      <xdr:col>8</xdr:col>
      <xdr:colOff>12700</xdr:colOff>
      <xdr:row>12</xdr:row>
      <xdr:rowOff>0</xdr:rowOff>
    </xdr:to>
    <xdr:pic>
      <xdr:nvPicPr>
        <xdr:cNvPr id="42" name="Picture 41">
          <a:extLst>
            <a:ext uri="{FF2B5EF4-FFF2-40B4-BE49-F238E27FC236}">
              <a16:creationId xmlns:a16="http://schemas.microsoft.com/office/drawing/2014/main" id="{00000000-0008-0000-0600-00002A000000}"/>
            </a:ext>
          </a:extLst>
        </xdr:cNvPr>
        <xdr:cNvPicPr>
          <a:picLocks/>
        </xdr:cNvPicPr>
      </xdr:nvPicPr>
      <xdr:blipFill rotWithShape="1">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14058900" y="19862800"/>
          <a:ext cx="2743200" cy="2743200"/>
        </a:xfrm>
        <a:prstGeom prst="ellipse">
          <a:avLst/>
        </a:prstGeom>
      </xdr:spPr>
    </xdr:pic>
    <xdr:clientData/>
  </xdr:twoCellAnchor>
  <xdr:twoCellAnchor editAs="oneCell">
    <xdr:from>
      <xdr:col>5</xdr:col>
      <xdr:colOff>0</xdr:colOff>
      <xdr:row>27</xdr:row>
      <xdr:rowOff>290092</xdr:rowOff>
    </xdr:from>
    <xdr:to>
      <xdr:col>6</xdr:col>
      <xdr:colOff>11126</xdr:colOff>
      <xdr:row>28</xdr:row>
      <xdr:rowOff>0</xdr:rowOff>
    </xdr:to>
    <xdr:pic>
      <xdr:nvPicPr>
        <xdr:cNvPr id="45" name="Picture 44">
          <a:extLst>
            <a:ext uri="{FF2B5EF4-FFF2-40B4-BE49-F238E27FC236}">
              <a16:creationId xmlns:a16="http://schemas.microsoft.com/office/drawing/2014/main" id="{00000000-0008-0000-0600-00002D000000}"/>
            </a:ext>
          </a:extLst>
        </xdr:cNvPr>
        <xdr:cNvPicPr>
          <a:picLocks noChangeAspect="1"/>
        </xdr:cNvPicPr>
      </xdr:nvPicPr>
      <xdr:blipFill rotWithShape="1">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10375900" y="46264092"/>
          <a:ext cx="2741626" cy="2757908"/>
        </a:xfrm>
        <a:prstGeom prst="ellipse">
          <a:avLst/>
        </a:prstGeom>
      </xdr:spPr>
    </xdr:pic>
    <xdr:clientData/>
  </xdr:twoCellAnchor>
  <xdr:twoCellAnchor editAs="oneCell">
    <xdr:from>
      <xdr:col>3</xdr:col>
      <xdr:colOff>0</xdr:colOff>
      <xdr:row>21</xdr:row>
      <xdr:rowOff>304800</xdr:rowOff>
    </xdr:from>
    <xdr:to>
      <xdr:col>4</xdr:col>
      <xdr:colOff>13840</xdr:colOff>
      <xdr:row>22</xdr:row>
      <xdr:rowOff>0</xdr:rowOff>
    </xdr:to>
    <xdr:pic>
      <xdr:nvPicPr>
        <xdr:cNvPr id="49" name="Picture 48">
          <a:extLst>
            <a:ext uri="{FF2B5EF4-FFF2-40B4-BE49-F238E27FC236}">
              <a16:creationId xmlns:a16="http://schemas.microsoft.com/office/drawing/2014/main" id="{00000000-0008-0000-0600-000031000000}"/>
            </a:ext>
          </a:extLst>
        </xdr:cNvPr>
        <xdr:cNvPicPr>
          <a:picLocks/>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t="649" b="706"/>
        <a:stretch/>
      </xdr:blipFill>
      <xdr:spPr>
        <a:xfrm>
          <a:off x="7264400" y="36372800"/>
          <a:ext cx="2744340" cy="2743200"/>
        </a:xfrm>
        <a:prstGeom prst="ellipse">
          <a:avLst/>
        </a:prstGeom>
      </xdr:spPr>
    </xdr:pic>
    <xdr:clientData/>
  </xdr:twoCellAnchor>
  <xdr:twoCellAnchor editAs="oneCell">
    <xdr:from>
      <xdr:col>3</xdr:col>
      <xdr:colOff>0</xdr:colOff>
      <xdr:row>23</xdr:row>
      <xdr:rowOff>304800</xdr:rowOff>
    </xdr:from>
    <xdr:to>
      <xdr:col>4</xdr:col>
      <xdr:colOff>12700</xdr:colOff>
      <xdr:row>24</xdr:row>
      <xdr:rowOff>0</xdr:rowOff>
    </xdr:to>
    <xdr:pic>
      <xdr:nvPicPr>
        <xdr:cNvPr id="51" name="Picture 50">
          <a:extLst>
            <a:ext uri="{FF2B5EF4-FFF2-40B4-BE49-F238E27FC236}">
              <a16:creationId xmlns:a16="http://schemas.microsoft.com/office/drawing/2014/main" id="{00000000-0008-0000-0600-000033000000}"/>
            </a:ext>
          </a:extLst>
        </xdr:cNvPr>
        <xdr:cNvPicPr>
          <a:picLocks/>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7264400" y="39674800"/>
          <a:ext cx="2743200" cy="2743200"/>
        </a:xfrm>
        <a:prstGeom prst="ellipse">
          <a:avLst/>
        </a:prstGeom>
      </xdr:spPr>
    </xdr:pic>
    <xdr:clientData/>
  </xdr:twoCellAnchor>
  <xdr:twoCellAnchor editAs="oneCell">
    <xdr:from>
      <xdr:col>3</xdr:col>
      <xdr:colOff>0</xdr:colOff>
      <xdr:row>15</xdr:row>
      <xdr:rowOff>304800</xdr:rowOff>
    </xdr:from>
    <xdr:to>
      <xdr:col>4</xdr:col>
      <xdr:colOff>13632</xdr:colOff>
      <xdr:row>16</xdr:row>
      <xdr:rowOff>0</xdr:rowOff>
    </xdr:to>
    <xdr:pic>
      <xdr:nvPicPr>
        <xdr:cNvPr id="52" name="Picture 51">
          <a:extLst>
            <a:ext uri="{FF2B5EF4-FFF2-40B4-BE49-F238E27FC236}">
              <a16:creationId xmlns:a16="http://schemas.microsoft.com/office/drawing/2014/main" id="{00000000-0008-0000-0600-000034000000}"/>
            </a:ext>
          </a:extLst>
        </xdr:cNvPr>
        <xdr:cNvPicPr>
          <a:picLocks/>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7264400" y="26466800"/>
          <a:ext cx="2744132" cy="2743200"/>
        </a:xfrm>
        <a:prstGeom prst="ellipse">
          <a:avLst/>
        </a:prstGeom>
      </xdr:spPr>
    </xdr:pic>
    <xdr:clientData/>
  </xdr:twoCellAnchor>
  <mc:AlternateContent xmlns:mc="http://schemas.openxmlformats.org/markup-compatibility/2006">
    <mc:Choice xmlns:a14="http://schemas.microsoft.com/office/drawing/2010/main" Requires="a14">
      <xdr:twoCellAnchor>
        <xdr:from>
          <xdr:col>0</xdr:col>
          <xdr:colOff>0</xdr:colOff>
          <xdr:row>20</xdr:row>
          <xdr:rowOff>0</xdr:rowOff>
        </xdr:from>
        <xdr:to>
          <xdr:col>1</xdr:col>
          <xdr:colOff>12700</xdr:colOff>
          <xdr:row>20</xdr:row>
          <xdr:rowOff>0</xdr:rowOff>
        </xdr:to>
        <xdr:sp macro="" textlink="">
          <xdr:nvSpPr>
            <xdr:cNvPr id="16476" name="Button 92" hidden="1">
              <a:extLst>
                <a:ext uri="{63B3BB69-23CF-44E3-9099-C40C66FF867C}">
                  <a14:compatExt spid="_x0000_s16476"/>
                </a:ext>
                <a:ext uri="{FF2B5EF4-FFF2-40B4-BE49-F238E27FC236}">
                  <a16:creationId xmlns:a16="http://schemas.microsoft.com/office/drawing/2014/main" id="{00000000-0008-0000-0600-00005C400000}"/>
                </a:ext>
              </a:extLst>
            </xdr:cNvPr>
            <xdr:cNvSpPr/>
          </xdr:nvSpPr>
          <xdr:spPr bwMode="auto">
            <a:xfrm>
              <a:off x="0" y="0"/>
              <a:ext cx="0" cy="0"/>
            </a:xfrm>
            <a:prstGeom prst="rect">
              <a:avLst/>
            </a:prstGeom>
            <a:noFill/>
            <a:ln w="9525">
              <a:miter lim="800000"/>
              <a:headEnd/>
              <a:tailEnd/>
            </a:ln>
          </xdr:spPr>
          <xdr:txBody>
            <a:bodyPr vertOverflow="clip" wrap="square" lIns="27432" tIns="22860" rIns="27432" bIns="22860" anchor="ctr" upright="1"/>
            <a:lstStyle/>
            <a:p>
              <a:pPr algn="ctr" rtl="0">
                <a:defRPr sz="1000"/>
              </a:pPr>
              <a:r>
                <a:rPr lang="fi-FI" sz="1100" b="0" i="0" u="none" strike="noStrike" baseline="0">
                  <a:solidFill>
                    <a:srgbClr val="000000"/>
                  </a:solidFill>
                  <a:latin typeface="Calibri" pitchFamily="2" charset="0"/>
                  <a:cs typeface="Calibri" pitchFamily="2" charset="0"/>
                </a:rPr>
                <a:t>Edellinen: Ohjeet</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0</xdr:col>
          <xdr:colOff>0</xdr:colOff>
          <xdr:row>20</xdr:row>
          <xdr:rowOff>0</xdr:rowOff>
        </xdr:from>
        <xdr:to>
          <xdr:col>1</xdr:col>
          <xdr:colOff>0</xdr:colOff>
          <xdr:row>20</xdr:row>
          <xdr:rowOff>0</xdr:rowOff>
        </xdr:to>
        <xdr:sp macro="" textlink="">
          <xdr:nvSpPr>
            <xdr:cNvPr id="16477" name="Button 93" hidden="1">
              <a:extLst>
                <a:ext uri="{63B3BB69-23CF-44E3-9099-C40C66FF867C}">
                  <a14:compatExt spid="_x0000_s16477"/>
                </a:ext>
                <a:ext uri="{FF2B5EF4-FFF2-40B4-BE49-F238E27FC236}">
                  <a16:creationId xmlns:a16="http://schemas.microsoft.com/office/drawing/2014/main" id="{00000000-0008-0000-0600-00005D400000}"/>
                </a:ext>
              </a:extLst>
            </xdr:cNvPr>
            <xdr:cNvSpPr/>
          </xdr:nvSpPr>
          <xdr:spPr bwMode="auto">
            <a:xfrm>
              <a:off x="0" y="0"/>
              <a:ext cx="0" cy="0"/>
            </a:xfrm>
            <a:prstGeom prst="rect">
              <a:avLst/>
            </a:prstGeom>
            <a:noFill/>
            <a:ln w="9525">
              <a:miter lim="800000"/>
              <a:headEnd/>
              <a:tailEnd/>
            </a:ln>
          </xdr:spPr>
          <xdr:txBody>
            <a:bodyPr vertOverflow="clip" wrap="square" lIns="27432" tIns="22860" rIns="27432" bIns="22860" anchor="ctr" upright="1"/>
            <a:lstStyle/>
            <a:p>
              <a:pPr algn="ctr" rtl="0">
                <a:defRPr sz="1000"/>
              </a:pPr>
              <a:r>
                <a:rPr lang="fi-FI" sz="1100" b="0" i="0" u="none" strike="noStrike" baseline="0">
                  <a:solidFill>
                    <a:srgbClr val="000000"/>
                  </a:solidFill>
                  <a:latin typeface="Calibri" pitchFamily="2" charset="0"/>
                  <a:cs typeface="Calibri" pitchFamily="2" charset="0"/>
                </a:rPr>
                <a:t>Edellinen:</a:t>
              </a:r>
            </a:p>
            <a:p>
              <a:pPr algn="ctr" rtl="0">
                <a:defRPr sz="1000"/>
              </a:pPr>
              <a:r>
                <a:rPr lang="fi-FI" sz="1100" b="0" i="0" u="none" strike="noStrike" baseline="0">
                  <a:solidFill>
                    <a:srgbClr val="000000"/>
                  </a:solidFill>
                  <a:latin typeface="Calibri" pitchFamily="2" charset="0"/>
                  <a:cs typeface="Calibri" pitchFamily="2" charset="0"/>
                </a:rPr>
                <a:t>Viherkerroin</a:t>
              </a:r>
            </a:p>
          </xdr:txBody>
        </xdr:sp>
        <xdr:clientData fPrintsWithSheet="0"/>
      </xdr:twoCellAnchor>
    </mc:Choice>
    <mc:Fallback/>
  </mc:AlternateContent>
  <xdr:twoCellAnchor editAs="oneCell">
    <xdr:from>
      <xdr:col>3</xdr:col>
      <xdr:colOff>0</xdr:colOff>
      <xdr:row>27</xdr:row>
      <xdr:rowOff>275167</xdr:rowOff>
    </xdr:from>
    <xdr:to>
      <xdr:col>4</xdr:col>
      <xdr:colOff>42333</xdr:colOff>
      <xdr:row>28</xdr:row>
      <xdr:rowOff>0</xdr:rowOff>
    </xdr:to>
    <xdr:pic>
      <xdr:nvPicPr>
        <xdr:cNvPr id="6" name="Picture 5">
          <a:extLst>
            <a:ext uri="{FF2B5EF4-FFF2-40B4-BE49-F238E27FC236}">
              <a16:creationId xmlns:a16="http://schemas.microsoft.com/office/drawing/2014/main" id="{00000000-0008-0000-0600-000006000000}"/>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7264400" y="46249167"/>
          <a:ext cx="2772833" cy="2772833"/>
        </a:xfrm>
        <a:prstGeom prst="rect">
          <a:avLst/>
        </a:prstGeom>
      </xdr:spPr>
    </xdr:pic>
    <xdr:clientData/>
  </xdr:twoCellAnchor>
  <xdr:twoCellAnchor editAs="oneCell">
    <xdr:from>
      <xdr:col>5</xdr:col>
      <xdr:colOff>0</xdr:colOff>
      <xdr:row>17</xdr:row>
      <xdr:rowOff>304800</xdr:rowOff>
    </xdr:from>
    <xdr:to>
      <xdr:col>6</xdr:col>
      <xdr:colOff>16024</xdr:colOff>
      <xdr:row>18</xdr:row>
      <xdr:rowOff>0</xdr:rowOff>
    </xdr:to>
    <xdr:pic>
      <xdr:nvPicPr>
        <xdr:cNvPr id="10" name="Picture 9">
          <a:extLst>
            <a:ext uri="{FF2B5EF4-FFF2-40B4-BE49-F238E27FC236}">
              <a16:creationId xmlns:a16="http://schemas.microsoft.com/office/drawing/2014/main" id="{00000000-0008-0000-0600-00000A000000}"/>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10375900" y="29768800"/>
          <a:ext cx="2746524" cy="2743200"/>
        </a:xfrm>
        <a:prstGeom prst="rect">
          <a:avLst/>
        </a:prstGeom>
      </xdr:spPr>
    </xdr:pic>
    <xdr:clientData/>
  </xdr:twoCellAnchor>
  <xdr:twoCellAnchor editAs="oneCell">
    <xdr:from>
      <xdr:col>3</xdr:col>
      <xdr:colOff>0</xdr:colOff>
      <xdr:row>19</xdr:row>
      <xdr:rowOff>304799</xdr:rowOff>
    </xdr:from>
    <xdr:to>
      <xdr:col>4</xdr:col>
      <xdr:colOff>15876</xdr:colOff>
      <xdr:row>20</xdr:row>
      <xdr:rowOff>0</xdr:rowOff>
    </xdr:to>
    <xdr:pic>
      <xdr:nvPicPr>
        <xdr:cNvPr id="14" name="Picture 13">
          <a:extLst>
            <a:ext uri="{FF2B5EF4-FFF2-40B4-BE49-F238E27FC236}">
              <a16:creationId xmlns:a16="http://schemas.microsoft.com/office/drawing/2014/main" id="{00000000-0008-0000-0600-00000E000000}"/>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7264400" y="33070799"/>
          <a:ext cx="2746376" cy="2743201"/>
        </a:xfrm>
        <a:prstGeom prst="rect">
          <a:avLst/>
        </a:prstGeom>
      </xdr:spPr>
    </xdr:pic>
    <xdr:clientData/>
  </xdr:twoCellAnchor>
  <xdr:twoCellAnchor editAs="oneCell">
    <xdr:from>
      <xdr:col>3</xdr:col>
      <xdr:colOff>0</xdr:colOff>
      <xdr:row>9</xdr:row>
      <xdr:rowOff>584200</xdr:rowOff>
    </xdr:from>
    <xdr:to>
      <xdr:col>4</xdr:col>
      <xdr:colOff>12700</xdr:colOff>
      <xdr:row>9</xdr:row>
      <xdr:rowOff>3327400</xdr:rowOff>
    </xdr:to>
    <xdr:pic>
      <xdr:nvPicPr>
        <xdr:cNvPr id="21" name="Picture 20">
          <a:extLst>
            <a:ext uri="{FF2B5EF4-FFF2-40B4-BE49-F238E27FC236}">
              <a16:creationId xmlns:a16="http://schemas.microsoft.com/office/drawing/2014/main" id="{00000000-0008-0000-0600-000015000000}"/>
            </a:ext>
          </a:extLst>
        </xdr:cNvPr>
        <xdr:cNvPicPr>
          <a:picLocks/>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7708900" y="16078200"/>
          <a:ext cx="2743200" cy="2743200"/>
        </a:xfrm>
        <a:prstGeom prst="rect">
          <a:avLst/>
        </a:prstGeom>
      </xdr:spPr>
    </xdr:pic>
    <xdr:clientData/>
  </xdr:twoCellAnchor>
  <xdr:twoCellAnchor editAs="oneCell">
    <xdr:from>
      <xdr:col>7</xdr:col>
      <xdr:colOff>0</xdr:colOff>
      <xdr:row>13</xdr:row>
      <xdr:rowOff>304800</xdr:rowOff>
    </xdr:from>
    <xdr:to>
      <xdr:col>8</xdr:col>
      <xdr:colOff>12700</xdr:colOff>
      <xdr:row>14</xdr:row>
      <xdr:rowOff>0</xdr:rowOff>
    </xdr:to>
    <xdr:pic>
      <xdr:nvPicPr>
        <xdr:cNvPr id="13" name="Picture 12">
          <a:extLst>
            <a:ext uri="{FF2B5EF4-FFF2-40B4-BE49-F238E27FC236}">
              <a16:creationId xmlns:a16="http://schemas.microsoft.com/office/drawing/2014/main" id="{00000000-0008-0000-0600-00000D000000}"/>
            </a:ext>
          </a:extLst>
        </xdr:cNvPr>
        <xdr:cNvPicPr>
          <a:picLocks/>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14058900" y="23164800"/>
          <a:ext cx="2743200" cy="2743200"/>
        </a:xfrm>
        <a:prstGeom prst="rect">
          <a:avLst/>
        </a:prstGeom>
      </xdr:spPr>
    </xdr:pic>
    <xdr:clientData/>
  </xdr:twoCellAnchor>
  <xdr:twoCellAnchor editAs="oneCell">
    <xdr:from>
      <xdr:col>3</xdr:col>
      <xdr:colOff>0</xdr:colOff>
      <xdr:row>5</xdr:row>
      <xdr:rowOff>304800</xdr:rowOff>
    </xdr:from>
    <xdr:to>
      <xdr:col>4</xdr:col>
      <xdr:colOff>12700</xdr:colOff>
      <xdr:row>6</xdr:row>
      <xdr:rowOff>0</xdr:rowOff>
    </xdr:to>
    <xdr:pic>
      <xdr:nvPicPr>
        <xdr:cNvPr id="22" name="Picture 21">
          <a:extLst>
            <a:ext uri="{FF2B5EF4-FFF2-40B4-BE49-F238E27FC236}">
              <a16:creationId xmlns:a16="http://schemas.microsoft.com/office/drawing/2014/main" id="{00000000-0008-0000-0600-000016000000}"/>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7264400" y="9194800"/>
          <a:ext cx="2743200" cy="2743200"/>
        </a:xfrm>
        <a:prstGeom prst="rect">
          <a:avLst/>
        </a:prstGeom>
      </xdr:spPr>
    </xdr:pic>
    <xdr:clientData/>
  </xdr:twoCellAnchor>
  <xdr:twoCellAnchor editAs="oneCell">
    <xdr:from>
      <xdr:col>5</xdr:col>
      <xdr:colOff>0</xdr:colOff>
      <xdr:row>5</xdr:row>
      <xdr:rowOff>304800</xdr:rowOff>
    </xdr:from>
    <xdr:to>
      <xdr:col>6</xdr:col>
      <xdr:colOff>12700</xdr:colOff>
      <xdr:row>6</xdr:row>
      <xdr:rowOff>0</xdr:rowOff>
    </xdr:to>
    <xdr:pic>
      <xdr:nvPicPr>
        <xdr:cNvPr id="24" name="Picture 23">
          <a:extLst>
            <a:ext uri="{FF2B5EF4-FFF2-40B4-BE49-F238E27FC236}">
              <a16:creationId xmlns:a16="http://schemas.microsoft.com/office/drawing/2014/main" id="{00000000-0008-0000-0600-000018000000}"/>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10375900" y="9194800"/>
          <a:ext cx="2743200" cy="2743200"/>
        </a:xfrm>
        <a:prstGeom prst="rect">
          <a:avLst/>
        </a:prstGeom>
      </xdr:spPr>
    </xdr:pic>
    <xdr:clientData/>
  </xdr:twoCellAnchor>
  <xdr:twoCellAnchor editAs="oneCell">
    <xdr:from>
      <xdr:col>5</xdr:col>
      <xdr:colOff>0</xdr:colOff>
      <xdr:row>11</xdr:row>
      <xdr:rowOff>685800</xdr:rowOff>
    </xdr:from>
    <xdr:to>
      <xdr:col>6</xdr:col>
      <xdr:colOff>12700</xdr:colOff>
      <xdr:row>12</xdr:row>
      <xdr:rowOff>0</xdr:rowOff>
    </xdr:to>
    <xdr:pic>
      <xdr:nvPicPr>
        <xdr:cNvPr id="2" name="Picture 43">
          <a:extLst>
            <a:ext uri="{FF2B5EF4-FFF2-40B4-BE49-F238E27FC236}">
              <a16:creationId xmlns:a16="http://schemas.microsoft.com/office/drawing/2014/main" id="{00000000-0008-0000-0600-000002000000}"/>
            </a:ext>
          </a:extLst>
        </xdr:cNvPr>
        <xdr:cNvPicPr>
          <a:picLocks/>
        </xdr:cNvPicPr>
      </xdr:nvPicPr>
      <xdr:blipFill rotWithShape="1">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10883900" y="19862800"/>
          <a:ext cx="2743200" cy="2743200"/>
        </a:xfrm>
        <a:prstGeom prst="ellipse">
          <a:avLst/>
        </a:prstGeom>
      </xdr:spPr>
    </xdr:pic>
    <xdr:clientData/>
  </xdr:twoCellAnchor>
  <xdr:twoCellAnchor editAs="oneCell">
    <xdr:from>
      <xdr:col>3</xdr:col>
      <xdr:colOff>0</xdr:colOff>
      <xdr:row>13</xdr:row>
      <xdr:rowOff>304800</xdr:rowOff>
    </xdr:from>
    <xdr:to>
      <xdr:col>4</xdr:col>
      <xdr:colOff>12700</xdr:colOff>
      <xdr:row>14</xdr:row>
      <xdr:rowOff>0</xdr:rowOff>
    </xdr:to>
    <xdr:pic>
      <xdr:nvPicPr>
        <xdr:cNvPr id="5" name="Picture 4">
          <a:extLst>
            <a:ext uri="{FF2B5EF4-FFF2-40B4-BE49-F238E27FC236}">
              <a16:creationId xmlns:a16="http://schemas.microsoft.com/office/drawing/2014/main" id="{00000000-0008-0000-0600-000005000000}"/>
            </a:ext>
          </a:extLst>
        </xdr:cNvPr>
        <xdr:cNvPicPr>
          <a:picLocks/>
        </xdr:cNvPicPr>
      </xdr:nvPicPr>
      <xdr:blipFill rotWithShape="1">
        <a:blip xmlns:r="http://schemas.openxmlformats.org/officeDocument/2006/relationships" r:embed="rId19"/>
        <a:srcRect l="13452" t="3826" r="13452" b="3826"/>
        <a:stretch/>
      </xdr:blipFill>
      <xdr:spPr>
        <a:xfrm>
          <a:off x="7264400" y="23164800"/>
          <a:ext cx="2743200" cy="2743200"/>
        </a:xfrm>
        <a:prstGeom prst="ellipse">
          <a:avLst/>
        </a:prstGeom>
        <a:ln w="63500" cap="rnd">
          <a:noFill/>
        </a:ln>
        <a:effectLst/>
      </xdr:spPr>
    </xdr:pic>
    <xdr:clientData/>
  </xdr:twoCellAnchor>
  <xdr:twoCellAnchor editAs="oneCell">
    <xdr:from>
      <xdr:col>3</xdr:col>
      <xdr:colOff>0</xdr:colOff>
      <xdr:row>7</xdr:row>
      <xdr:rowOff>304800</xdr:rowOff>
    </xdr:from>
    <xdr:to>
      <xdr:col>4</xdr:col>
      <xdr:colOff>12700</xdr:colOff>
      <xdr:row>8</xdr:row>
      <xdr:rowOff>0</xdr:rowOff>
    </xdr:to>
    <xdr:pic>
      <xdr:nvPicPr>
        <xdr:cNvPr id="16" name="Picture 15">
          <a:extLst>
            <a:ext uri="{FF2B5EF4-FFF2-40B4-BE49-F238E27FC236}">
              <a16:creationId xmlns:a16="http://schemas.microsoft.com/office/drawing/2014/main" id="{00000000-0008-0000-0600-000010000000}"/>
            </a:ext>
          </a:extLst>
        </xdr:cNvPr>
        <xdr:cNvPicPr>
          <a:picLocks/>
        </xdr:cNvPicPr>
      </xdr:nvPicPr>
      <xdr:blipFill rotWithShape="1">
        <a:blip xmlns:r="http://schemas.openxmlformats.org/officeDocument/2006/relationships" r:embed="rId20"/>
        <a:srcRect/>
        <a:stretch/>
      </xdr:blipFill>
      <xdr:spPr>
        <a:xfrm>
          <a:off x="7264400" y="12496800"/>
          <a:ext cx="2743200" cy="2743200"/>
        </a:xfrm>
        <a:prstGeom prst="ellipse">
          <a:avLst/>
        </a:prstGeom>
        <a:ln w="63500" cap="rnd">
          <a:noFill/>
        </a:ln>
        <a:effectLst/>
      </xdr:spPr>
    </xdr:pic>
    <xdr:clientData/>
  </xdr:twoCellAnchor>
  <xdr:twoCellAnchor editAs="oneCell">
    <xdr:from>
      <xdr:col>5</xdr:col>
      <xdr:colOff>0</xdr:colOff>
      <xdr:row>7</xdr:row>
      <xdr:rowOff>304800</xdr:rowOff>
    </xdr:from>
    <xdr:to>
      <xdr:col>6</xdr:col>
      <xdr:colOff>16463</xdr:colOff>
      <xdr:row>8</xdr:row>
      <xdr:rowOff>0</xdr:rowOff>
    </xdr:to>
    <xdr:pic>
      <xdr:nvPicPr>
        <xdr:cNvPr id="23" name="Picture 22">
          <a:extLst>
            <a:ext uri="{FF2B5EF4-FFF2-40B4-BE49-F238E27FC236}">
              <a16:creationId xmlns:a16="http://schemas.microsoft.com/office/drawing/2014/main" id="{00000000-0008-0000-0600-000017000000}"/>
            </a:ext>
          </a:extLst>
        </xdr:cNvPr>
        <xdr:cNvPicPr>
          <a:picLocks/>
        </xdr:cNvPicPr>
      </xdr:nvPicPr>
      <xdr:blipFill rotWithShape="1">
        <a:blip xmlns:r="http://schemas.openxmlformats.org/officeDocument/2006/relationships" r:embed="rId21"/>
        <a:srcRect l="10150" t="4212" r="10150" b="4212"/>
        <a:stretch/>
      </xdr:blipFill>
      <xdr:spPr>
        <a:xfrm>
          <a:off x="10375900" y="12496800"/>
          <a:ext cx="2746963" cy="2743200"/>
        </a:xfrm>
        <a:prstGeom prst="ellipse">
          <a:avLst/>
        </a:prstGeom>
        <a:ln w="63500" cap="rnd">
          <a:noFill/>
        </a:ln>
        <a:effectLst/>
      </xdr:spPr>
    </xdr:pic>
    <xdr:clientData/>
  </xdr:twoCellAnchor>
  <xdr:twoCellAnchor editAs="oneCell">
    <xdr:from>
      <xdr:col>3</xdr:col>
      <xdr:colOff>0</xdr:colOff>
      <xdr:row>3</xdr:row>
      <xdr:rowOff>444500</xdr:rowOff>
    </xdr:from>
    <xdr:to>
      <xdr:col>4</xdr:col>
      <xdr:colOff>12700</xdr:colOff>
      <xdr:row>3</xdr:row>
      <xdr:rowOff>3187700</xdr:rowOff>
    </xdr:to>
    <xdr:pic>
      <xdr:nvPicPr>
        <xdr:cNvPr id="12" name="Picture 21">
          <a:extLst>
            <a:ext uri="{FF2B5EF4-FFF2-40B4-BE49-F238E27FC236}">
              <a16:creationId xmlns:a16="http://schemas.microsoft.com/office/drawing/2014/main" id="{00000000-0008-0000-0600-00000C000000}"/>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7708900" y="4508500"/>
          <a:ext cx="2743200" cy="2743200"/>
        </a:xfrm>
        <a:prstGeom prst="rect">
          <a:avLst/>
        </a:prstGeom>
      </xdr:spPr>
    </xdr:pic>
    <xdr:clientData/>
  </xdr:twoCellAnchor>
  <xdr:twoCellAnchor editAs="oneCell">
    <xdr:from>
      <xdr:col>5</xdr:col>
      <xdr:colOff>0</xdr:colOff>
      <xdr:row>3</xdr:row>
      <xdr:rowOff>444500</xdr:rowOff>
    </xdr:from>
    <xdr:to>
      <xdr:col>6</xdr:col>
      <xdr:colOff>12700</xdr:colOff>
      <xdr:row>3</xdr:row>
      <xdr:rowOff>3187700</xdr:rowOff>
    </xdr:to>
    <xdr:pic>
      <xdr:nvPicPr>
        <xdr:cNvPr id="18" name="Picture 21">
          <a:extLst>
            <a:ext uri="{FF2B5EF4-FFF2-40B4-BE49-F238E27FC236}">
              <a16:creationId xmlns:a16="http://schemas.microsoft.com/office/drawing/2014/main" id="{00000000-0008-0000-0600-000012000000}"/>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10883900" y="4508500"/>
          <a:ext cx="2743200" cy="2743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3</xdr:col>
      <xdr:colOff>76200</xdr:colOff>
      <xdr:row>11</xdr:row>
      <xdr:rowOff>2997200</xdr:rowOff>
    </xdr:from>
    <xdr:to>
      <xdr:col>3</xdr:col>
      <xdr:colOff>4215384</xdr:colOff>
      <xdr:row>13</xdr:row>
      <xdr:rowOff>19304</xdr:rowOff>
    </xdr:to>
    <xdr:pic>
      <xdr:nvPicPr>
        <xdr:cNvPr id="3" name="Kuva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stretch>
          <a:fillRect/>
        </a:stretch>
      </xdr:blipFill>
      <xdr:spPr>
        <a:xfrm>
          <a:off x="6553200" y="14236700"/>
          <a:ext cx="4139184" cy="3499104"/>
        </a:xfrm>
        <a:prstGeom prst="rect">
          <a:avLst/>
        </a:prstGeom>
      </xdr:spPr>
    </xdr:pic>
    <xdr:clientData/>
  </xdr:twoCellAnchor>
</xdr:wsDr>
</file>

<file path=xl/theme/theme1.xml><?xml version="1.0" encoding="utf-8"?>
<a:theme xmlns:a="http://schemas.openxmlformats.org/drawingml/2006/main" name="Office-teema">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ctrlProp" Target="../ctrlProps/ctrlProp4.xml"/><Relationship Id="rId3" Type="http://schemas.openxmlformats.org/officeDocument/2006/relationships/drawing" Target="../drawings/drawing2.xml"/><Relationship Id="rId7" Type="http://schemas.openxmlformats.org/officeDocument/2006/relationships/ctrlProp" Target="../ctrlProps/ctrlProp3.xml"/><Relationship Id="rId12" Type="http://schemas.openxmlformats.org/officeDocument/2006/relationships/ctrlProp" Target="../ctrlProps/ctrlProp8.xml"/><Relationship Id="rId2" Type="http://schemas.openxmlformats.org/officeDocument/2006/relationships/printerSettings" Target="../printerSettings/printerSettings4.bin"/><Relationship Id="rId1" Type="http://schemas.openxmlformats.org/officeDocument/2006/relationships/printerSettings" Target="../printerSettings/printerSettings3.bin"/><Relationship Id="rId6" Type="http://schemas.openxmlformats.org/officeDocument/2006/relationships/ctrlProp" Target="../ctrlProps/ctrlProp2.xml"/><Relationship Id="rId11" Type="http://schemas.openxmlformats.org/officeDocument/2006/relationships/ctrlProp" Target="../ctrlProps/ctrlProp7.xml"/><Relationship Id="rId5" Type="http://schemas.openxmlformats.org/officeDocument/2006/relationships/ctrlProp" Target="../ctrlProps/ctrlProp1.xml"/><Relationship Id="rId10" Type="http://schemas.openxmlformats.org/officeDocument/2006/relationships/ctrlProp" Target="../ctrlProps/ctrlProp6.xml"/><Relationship Id="rId4" Type="http://schemas.openxmlformats.org/officeDocument/2006/relationships/vmlDrawing" Target="../drawings/vmlDrawing1.vml"/><Relationship Id="rId9" Type="http://schemas.openxmlformats.org/officeDocument/2006/relationships/ctrlProp" Target="../ctrlProps/ctrlProp5.xml"/></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6.bin"/><Relationship Id="rId1" Type="http://schemas.openxmlformats.org/officeDocument/2006/relationships/printerSettings" Target="../printerSettings/printerSettings5.bin"/></Relationships>
</file>

<file path=xl/worksheets/_rels/sheet4.xml.rels><?xml version="1.0" encoding="UTF-8" standalone="yes"?>
<Relationships xmlns="http://schemas.openxmlformats.org/package/2006/relationships"><Relationship Id="rId8" Type="http://schemas.openxmlformats.org/officeDocument/2006/relationships/ctrlProp" Target="../ctrlProps/ctrlProp14.xml"/><Relationship Id="rId13" Type="http://schemas.openxmlformats.org/officeDocument/2006/relationships/ctrlProp" Target="../ctrlProps/ctrlProp19.xml"/><Relationship Id="rId18" Type="http://schemas.openxmlformats.org/officeDocument/2006/relationships/ctrlProp" Target="../ctrlProps/ctrlProp24.xml"/><Relationship Id="rId3" Type="http://schemas.openxmlformats.org/officeDocument/2006/relationships/ctrlProp" Target="../ctrlProps/ctrlProp9.xml"/><Relationship Id="rId21" Type="http://schemas.openxmlformats.org/officeDocument/2006/relationships/ctrlProp" Target="../ctrlProps/ctrlProp27.xml"/><Relationship Id="rId7" Type="http://schemas.openxmlformats.org/officeDocument/2006/relationships/ctrlProp" Target="../ctrlProps/ctrlProp13.xml"/><Relationship Id="rId12" Type="http://schemas.openxmlformats.org/officeDocument/2006/relationships/ctrlProp" Target="../ctrlProps/ctrlProp18.xml"/><Relationship Id="rId17" Type="http://schemas.openxmlformats.org/officeDocument/2006/relationships/ctrlProp" Target="../ctrlProps/ctrlProp23.xml"/><Relationship Id="rId25" Type="http://schemas.openxmlformats.org/officeDocument/2006/relationships/ctrlProp" Target="../ctrlProps/ctrlProp31.xml"/><Relationship Id="rId2" Type="http://schemas.openxmlformats.org/officeDocument/2006/relationships/vmlDrawing" Target="../drawings/vmlDrawing2.vml"/><Relationship Id="rId16" Type="http://schemas.openxmlformats.org/officeDocument/2006/relationships/ctrlProp" Target="../ctrlProps/ctrlProp22.xml"/><Relationship Id="rId20" Type="http://schemas.openxmlformats.org/officeDocument/2006/relationships/ctrlProp" Target="../ctrlProps/ctrlProp26.xml"/><Relationship Id="rId1" Type="http://schemas.openxmlformats.org/officeDocument/2006/relationships/drawing" Target="../drawings/drawing3.xml"/><Relationship Id="rId6" Type="http://schemas.openxmlformats.org/officeDocument/2006/relationships/ctrlProp" Target="../ctrlProps/ctrlProp12.xml"/><Relationship Id="rId11" Type="http://schemas.openxmlformats.org/officeDocument/2006/relationships/ctrlProp" Target="../ctrlProps/ctrlProp17.xml"/><Relationship Id="rId24" Type="http://schemas.openxmlformats.org/officeDocument/2006/relationships/ctrlProp" Target="../ctrlProps/ctrlProp30.xml"/><Relationship Id="rId5" Type="http://schemas.openxmlformats.org/officeDocument/2006/relationships/ctrlProp" Target="../ctrlProps/ctrlProp11.xml"/><Relationship Id="rId15" Type="http://schemas.openxmlformats.org/officeDocument/2006/relationships/ctrlProp" Target="../ctrlProps/ctrlProp21.xml"/><Relationship Id="rId23" Type="http://schemas.openxmlformats.org/officeDocument/2006/relationships/ctrlProp" Target="../ctrlProps/ctrlProp29.xml"/><Relationship Id="rId10" Type="http://schemas.openxmlformats.org/officeDocument/2006/relationships/ctrlProp" Target="../ctrlProps/ctrlProp16.xml"/><Relationship Id="rId19" Type="http://schemas.openxmlformats.org/officeDocument/2006/relationships/ctrlProp" Target="../ctrlProps/ctrlProp25.xml"/><Relationship Id="rId4" Type="http://schemas.openxmlformats.org/officeDocument/2006/relationships/ctrlProp" Target="../ctrlProps/ctrlProp10.xml"/><Relationship Id="rId9" Type="http://schemas.openxmlformats.org/officeDocument/2006/relationships/ctrlProp" Target="../ctrlProps/ctrlProp15.xml"/><Relationship Id="rId14" Type="http://schemas.openxmlformats.org/officeDocument/2006/relationships/ctrlProp" Target="../ctrlProps/ctrlProp20.xml"/><Relationship Id="rId22" Type="http://schemas.openxmlformats.org/officeDocument/2006/relationships/ctrlProp" Target="../ctrlProps/ctrlProp28.x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8.bin"/><Relationship Id="rId1" Type="http://schemas.openxmlformats.org/officeDocument/2006/relationships/printerSettings" Target="../printerSettings/printerSettings7.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printerSettings" Target="../printerSettings/printerSettings10.bin"/><Relationship Id="rId1" Type="http://schemas.openxmlformats.org/officeDocument/2006/relationships/printerSettings" Target="../printerSettings/printerSettings9.bin"/><Relationship Id="rId4" Type="http://schemas.openxmlformats.org/officeDocument/2006/relationships/comments" Target="../comments1.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5.xml"/><Relationship Id="rId7" Type="http://schemas.openxmlformats.org/officeDocument/2006/relationships/ctrlProp" Target="../ctrlProps/ctrlProp34.xml"/><Relationship Id="rId2" Type="http://schemas.openxmlformats.org/officeDocument/2006/relationships/printerSettings" Target="../printerSettings/printerSettings12.bin"/><Relationship Id="rId1" Type="http://schemas.openxmlformats.org/officeDocument/2006/relationships/printerSettings" Target="../printerSettings/printerSettings11.bin"/><Relationship Id="rId6" Type="http://schemas.openxmlformats.org/officeDocument/2006/relationships/ctrlProp" Target="../ctrlProps/ctrlProp33.xml"/><Relationship Id="rId5" Type="http://schemas.openxmlformats.org/officeDocument/2006/relationships/ctrlProp" Target="../ctrlProps/ctrlProp32.xml"/><Relationship Id="rId4" Type="http://schemas.openxmlformats.org/officeDocument/2006/relationships/vmlDrawing" Target="../drawings/vmlDrawing4.v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printerSettings" Target="../printerSettings/printerSettings14.bin"/><Relationship Id="rId1" Type="http://schemas.openxmlformats.org/officeDocument/2006/relationships/printerSettings" Target="../printerSettings/printerSettings13.bin"/><Relationship Id="rId4" Type="http://schemas.openxmlformats.org/officeDocument/2006/relationships/comments" Target="../comments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Taul2"/>
  <dimension ref="B1:I32"/>
  <sheetViews>
    <sheetView tabSelected="1" zoomScaleNormal="100" workbookViewId="0"/>
  </sheetViews>
  <sheetFormatPr baseColWidth="10" defaultColWidth="9.1640625" defaultRowHeight="15"/>
  <cols>
    <col min="1" max="1" width="3.33203125" style="1" customWidth="1"/>
    <col min="2" max="2" width="1.83203125" style="1" customWidth="1"/>
    <col min="3" max="3" width="127.33203125" style="1" customWidth="1"/>
    <col min="4" max="4" width="10.83203125" style="1" customWidth="1"/>
    <col min="5" max="5" width="2" style="1" customWidth="1"/>
    <col min="6" max="6" width="56" style="1" customWidth="1"/>
    <col min="7" max="7" width="21.5" style="1" customWidth="1"/>
    <col min="8" max="16384" width="9.1640625" style="1"/>
  </cols>
  <sheetData>
    <row r="1" spans="2:7" ht="20" customHeight="1" thickBot="1"/>
    <row r="2" spans="2:7" ht="40" customHeight="1">
      <c r="B2" s="15"/>
      <c r="C2" s="17" t="s">
        <v>157</v>
      </c>
      <c r="D2" s="265" t="s">
        <v>369</v>
      </c>
    </row>
    <row r="3" spans="2:7" ht="40" customHeight="1">
      <c r="B3" s="2"/>
      <c r="C3" s="257" t="s">
        <v>263</v>
      </c>
      <c r="D3" s="264" t="s">
        <v>621</v>
      </c>
      <c r="E3" s="6"/>
      <c r="G3" s="7"/>
    </row>
    <row r="4" spans="2:7" ht="66" customHeight="1">
      <c r="B4" s="2"/>
      <c r="C4" s="262" t="s">
        <v>439</v>
      </c>
      <c r="D4" s="14"/>
      <c r="G4" s="7"/>
    </row>
    <row r="5" spans="2:7" s="7" customFormat="1" ht="40" customHeight="1" thickBot="1">
      <c r="B5" s="9"/>
      <c r="C5" s="257" t="s">
        <v>264</v>
      </c>
      <c r="D5" s="14"/>
      <c r="E5" s="8"/>
    </row>
    <row r="6" spans="2:7" s="7" customFormat="1" ht="38" customHeight="1">
      <c r="B6" s="2"/>
      <c r="C6" s="746" t="s">
        <v>443</v>
      </c>
      <c r="D6" s="14"/>
      <c r="E6" s="10"/>
      <c r="F6" s="248" t="s">
        <v>370</v>
      </c>
    </row>
    <row r="7" spans="2:7" ht="38" customHeight="1">
      <c r="B7" s="9"/>
      <c r="C7" s="746"/>
      <c r="D7" s="14"/>
      <c r="F7" s="742" t="s">
        <v>447</v>
      </c>
    </row>
    <row r="8" spans="2:7" s="7" customFormat="1" ht="38" customHeight="1">
      <c r="B8" s="9"/>
      <c r="C8" s="746"/>
      <c r="D8" s="14"/>
      <c r="E8" s="8"/>
      <c r="F8" s="742"/>
    </row>
    <row r="9" spans="2:7" s="7" customFormat="1" ht="38" customHeight="1">
      <c r="B9" s="9"/>
      <c r="C9" s="746"/>
      <c r="D9" s="14"/>
      <c r="E9" s="8"/>
      <c r="F9" s="742" t="s">
        <v>448</v>
      </c>
    </row>
    <row r="10" spans="2:7" s="7" customFormat="1" ht="38" customHeight="1">
      <c r="B10" s="2"/>
      <c r="C10" s="746"/>
      <c r="D10" s="14"/>
      <c r="E10" s="8"/>
      <c r="F10" s="742"/>
    </row>
    <row r="11" spans="2:7" s="7" customFormat="1" ht="38" customHeight="1">
      <c r="B11" s="9"/>
      <c r="C11" s="746"/>
      <c r="D11" s="14"/>
      <c r="E11" s="8"/>
      <c r="F11" s="742"/>
    </row>
    <row r="12" spans="2:7" ht="38" customHeight="1">
      <c r="B12" s="9"/>
      <c r="C12" s="746"/>
      <c r="D12" s="14"/>
      <c r="F12" s="742" t="s">
        <v>449</v>
      </c>
      <c r="G12" s="7"/>
    </row>
    <row r="13" spans="2:7" s="7" customFormat="1" ht="40" customHeight="1">
      <c r="B13" s="9"/>
      <c r="C13" s="257" t="s">
        <v>265</v>
      </c>
      <c r="D13" s="14"/>
      <c r="F13" s="742"/>
      <c r="G13" s="11"/>
    </row>
    <row r="14" spans="2:7" s="7" customFormat="1" ht="37" customHeight="1">
      <c r="B14" s="9"/>
      <c r="C14" s="746" t="s">
        <v>444</v>
      </c>
      <c r="D14" s="14"/>
      <c r="F14" s="742" t="s">
        <v>450</v>
      </c>
      <c r="G14" s="12"/>
    </row>
    <row r="15" spans="2:7" s="7" customFormat="1" ht="37" customHeight="1">
      <c r="B15" s="9"/>
      <c r="C15" s="746"/>
      <c r="D15" s="14"/>
      <c r="F15" s="742"/>
      <c r="G15" s="12"/>
    </row>
    <row r="16" spans="2:7" s="7" customFormat="1" ht="37" customHeight="1">
      <c r="B16" s="9"/>
      <c r="C16" s="746"/>
      <c r="D16" s="14"/>
      <c r="F16" s="742" t="s">
        <v>451</v>
      </c>
    </row>
    <row r="17" spans="2:9" s="7" customFormat="1" ht="37" customHeight="1" thickBot="1">
      <c r="B17" s="9"/>
      <c r="C17" s="746"/>
      <c r="D17" s="14"/>
      <c r="F17" s="743"/>
      <c r="G17" s="13"/>
    </row>
    <row r="18" spans="2:9" s="7" customFormat="1" ht="37" customHeight="1">
      <c r="B18" s="9"/>
      <c r="C18" s="746"/>
      <c r="D18" s="14"/>
      <c r="G18" s="12"/>
    </row>
    <row r="19" spans="2:9" s="7" customFormat="1" ht="45" customHeight="1">
      <c r="B19" s="9"/>
      <c r="C19" s="746"/>
      <c r="D19" s="14"/>
      <c r="F19" s="259"/>
    </row>
    <row r="20" spans="2:9" s="7" customFormat="1" ht="35" customHeight="1">
      <c r="B20" s="9"/>
      <c r="C20" s="257" t="s">
        <v>266</v>
      </c>
      <c r="D20" s="14"/>
      <c r="F20" s="260"/>
    </row>
    <row r="21" spans="2:9" s="7" customFormat="1" ht="35" customHeight="1">
      <c r="B21" s="2"/>
      <c r="C21" s="746" t="s">
        <v>445</v>
      </c>
      <c r="D21" s="14"/>
      <c r="F21" s="261"/>
      <c r="I21" s="246"/>
    </row>
    <row r="22" spans="2:9" s="7" customFormat="1" ht="35" customHeight="1">
      <c r="B22" s="2"/>
      <c r="C22" s="746"/>
      <c r="D22" s="14"/>
      <c r="F22" s="261"/>
      <c r="I22" s="246"/>
    </row>
    <row r="23" spans="2:9" s="7" customFormat="1" ht="60" customHeight="1">
      <c r="B23" s="2"/>
      <c r="C23" s="746"/>
      <c r="D23" s="14"/>
      <c r="I23" s="246"/>
    </row>
    <row r="24" spans="2:9" ht="35" customHeight="1">
      <c r="B24" s="2"/>
      <c r="C24" s="257" t="s">
        <v>432</v>
      </c>
      <c r="D24" s="3"/>
      <c r="I24" s="247"/>
    </row>
    <row r="25" spans="2:9" ht="35" customHeight="1">
      <c r="B25" s="2"/>
      <c r="C25" s="746" t="s">
        <v>616</v>
      </c>
      <c r="D25" s="3"/>
      <c r="I25" s="247"/>
    </row>
    <row r="26" spans="2:9" ht="35" customHeight="1">
      <c r="B26" s="2"/>
      <c r="C26" s="746"/>
      <c r="D26" s="3"/>
      <c r="I26" s="247"/>
    </row>
    <row r="27" spans="2:9" ht="75" customHeight="1">
      <c r="B27" s="2"/>
      <c r="C27" s="746"/>
      <c r="D27" s="3"/>
      <c r="I27" s="247"/>
    </row>
    <row r="28" spans="2:9" ht="35" customHeight="1">
      <c r="B28" s="2"/>
      <c r="C28" s="257" t="s">
        <v>434</v>
      </c>
      <c r="D28" s="3"/>
    </row>
    <row r="29" spans="2:9" ht="150" customHeight="1" thickBot="1">
      <c r="B29" s="4"/>
      <c r="C29" s="263" t="s">
        <v>446</v>
      </c>
      <c r="D29" s="5"/>
      <c r="F29" s="93" t="s">
        <v>604</v>
      </c>
    </row>
    <row r="30" spans="2:9" ht="16" thickBot="1">
      <c r="C30" s="256"/>
    </row>
    <row r="31" spans="2:9">
      <c r="C31" s="256"/>
      <c r="D31" s="744" t="s">
        <v>249</v>
      </c>
    </row>
    <row r="32" spans="2:9" ht="16" thickBot="1">
      <c r="C32" s="256"/>
      <c r="D32" s="745"/>
    </row>
  </sheetData>
  <sheetProtection algorithmName="SHA-512" hashValue="1+B4G6Zx5mEf9eHz1cFfsh14AXUPuj536smmdRaFoaRwT0rOYANp4SbgW/JWe2m4J5rPSkHg8oXnnkNDPi6/iA==" saltValue="ERAMEgQ+AKKYD7NwQcrfjQ==" spinCount="100000" sheet="1" objects="1" scenarios="1"/>
  <customSheetViews>
    <customSheetView guid="{C0826E8D-7112-6B45-A18A-1E6622F31D95}" scale="110">
      <selection activeCell="C37" sqref="C37:D37"/>
      <pageMargins left="0.7" right="0.7" top="0.75" bottom="0.75" header="0.3" footer="0.3"/>
      <pageSetup paperSize="9" orientation="portrait" r:id="rId1"/>
    </customSheetView>
  </customSheetViews>
  <mergeCells count="10">
    <mergeCell ref="D31:D32"/>
    <mergeCell ref="C6:C12"/>
    <mergeCell ref="C14:C19"/>
    <mergeCell ref="C21:C23"/>
    <mergeCell ref="C25:C27"/>
    <mergeCell ref="F14:F15"/>
    <mergeCell ref="F16:F17"/>
    <mergeCell ref="F7:F8"/>
    <mergeCell ref="F9:F11"/>
    <mergeCell ref="F12:F13"/>
  </mergeCells>
  <hyperlinks>
    <hyperlink ref="D31" location="Rajaukset!A1" display="Aloita" xr:uid="{3F10CD0B-BB3B-A240-82A7-6F68202879D8}"/>
  </hyperlinks>
  <pageMargins left="0.7" right="0.7" top="0.75" bottom="0.75" header="0.3" footer="0.3"/>
  <pageSetup paperSize="9" orientation="portrait" r:id="rId2"/>
  <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
    <tabColor rgb="FFD88C78"/>
  </sheetPr>
  <dimension ref="A1:AR85"/>
  <sheetViews>
    <sheetView zoomScaleNormal="100" workbookViewId="0">
      <selection activeCell="B3" sqref="B3"/>
    </sheetView>
  </sheetViews>
  <sheetFormatPr baseColWidth="10" defaultColWidth="9.1640625" defaultRowHeight="14"/>
  <cols>
    <col min="1" max="1" width="3.33203125" style="18" customWidth="1"/>
    <col min="2" max="2" width="50.83203125" style="18" customWidth="1"/>
    <col min="3" max="3" width="5.83203125" style="18" customWidth="1"/>
    <col min="4" max="4" width="50.83203125" style="18" customWidth="1"/>
    <col min="5" max="5" width="5.83203125" style="18" customWidth="1"/>
    <col min="6" max="6" width="55.1640625" style="18" customWidth="1"/>
    <col min="7" max="7" width="5.83203125" style="18" customWidth="1"/>
    <col min="8" max="8" width="15.83203125" style="18" customWidth="1"/>
    <col min="9" max="9" width="5.83203125" style="18" customWidth="1"/>
    <col min="10" max="10" width="54.1640625" style="18" customWidth="1"/>
    <col min="11" max="13" width="9.1640625" style="18" customWidth="1"/>
    <col min="14" max="14" width="20" style="18" customWidth="1"/>
    <col min="15" max="21" width="32.83203125" style="18" customWidth="1"/>
    <col min="22" max="32" width="9.83203125" style="18" customWidth="1"/>
    <col min="33" max="33" width="5.5" style="18" customWidth="1"/>
    <col min="34" max="34" width="45.1640625" style="18" customWidth="1"/>
    <col min="35" max="36" width="16.83203125" style="18" customWidth="1"/>
    <col min="37" max="37" width="25.5" style="18" customWidth="1"/>
    <col min="38" max="38" width="9.1640625" style="18" customWidth="1"/>
    <col min="39" max="16384" width="9.1640625" style="18"/>
  </cols>
  <sheetData>
    <row r="1" spans="2:44" ht="20" customHeight="1">
      <c r="G1" s="19"/>
    </row>
    <row r="2" spans="2:44" ht="30" customHeight="1">
      <c r="B2" s="649" t="s">
        <v>236</v>
      </c>
      <c r="C2" s="649"/>
      <c r="D2" s="649" t="s">
        <v>162</v>
      </c>
      <c r="E2" s="19"/>
      <c r="F2" s="19"/>
      <c r="G2" s="22"/>
      <c r="H2" s="22"/>
      <c r="I2" s="22"/>
      <c r="J2" s="22"/>
    </row>
    <row r="3" spans="2:44" ht="30" customHeight="1">
      <c r="B3" s="650"/>
      <c r="C3" s="19"/>
      <c r="D3" s="650"/>
      <c r="E3" s="19"/>
      <c r="F3" s="19"/>
      <c r="G3" s="22"/>
      <c r="H3" s="22"/>
      <c r="I3" s="22"/>
      <c r="J3" s="19"/>
    </row>
    <row r="4" spans="2:44" ht="30" customHeight="1">
      <c r="B4" s="651"/>
      <c r="C4" s="19"/>
      <c r="D4" s="19"/>
      <c r="E4" s="19"/>
      <c r="F4" s="19"/>
      <c r="G4" s="22"/>
      <c r="H4" s="22"/>
      <c r="I4" s="22"/>
      <c r="J4" s="19"/>
    </row>
    <row r="5" spans="2:44" ht="30" customHeight="1" thickBot="1">
      <c r="B5" s="649" t="s">
        <v>244</v>
      </c>
      <c r="C5" s="19"/>
      <c r="D5" s="649" t="s">
        <v>166</v>
      </c>
      <c r="E5" s="19"/>
      <c r="F5" s="649" t="s">
        <v>165</v>
      </c>
      <c r="G5" s="266"/>
      <c r="H5" s="22"/>
      <c r="I5" s="22"/>
      <c r="J5" s="19"/>
    </row>
    <row r="6" spans="2:44" ht="30" customHeight="1" thickBot="1">
      <c r="B6" s="650"/>
      <c r="C6" s="19"/>
      <c r="D6" s="650"/>
      <c r="E6" s="19"/>
      <c r="F6" s="652"/>
      <c r="G6" s="267"/>
      <c r="H6" s="22"/>
      <c r="I6" s="22"/>
      <c r="J6" s="653" t="s">
        <v>247</v>
      </c>
    </row>
    <row r="7" spans="2:44" ht="30" customHeight="1">
      <c r="B7" s="22"/>
      <c r="C7" s="22"/>
      <c r="D7" s="22"/>
      <c r="E7" s="22"/>
      <c r="F7" s="22"/>
      <c r="G7" s="22"/>
      <c r="H7" s="22"/>
      <c r="I7" s="22"/>
      <c r="J7" s="654"/>
    </row>
    <row r="8" spans="2:44" ht="30" customHeight="1">
      <c r="B8" s="751" t="s">
        <v>7</v>
      </c>
      <c r="C8" s="751" t="s">
        <v>15</v>
      </c>
      <c r="D8" s="751" t="s">
        <v>119</v>
      </c>
      <c r="E8" s="751"/>
      <c r="F8" s="751"/>
      <c r="G8" s="639"/>
      <c r="H8" s="751" t="s">
        <v>120</v>
      </c>
      <c r="I8" s="22"/>
      <c r="J8" s="655" t="s">
        <v>118</v>
      </c>
      <c r="K8" s="20"/>
      <c r="AG8" s="747"/>
      <c r="AH8" s="747"/>
      <c r="AI8" s="43"/>
      <c r="AJ8" s="43"/>
      <c r="AK8" s="43"/>
      <c r="AP8" s="44"/>
      <c r="AQ8" s="45"/>
      <c r="AR8" s="45"/>
    </row>
    <row r="9" spans="2:44" ht="30" customHeight="1">
      <c r="B9" s="751"/>
      <c r="C9" s="751"/>
      <c r="D9" s="751"/>
      <c r="E9" s="751"/>
      <c r="F9" s="751"/>
      <c r="G9" s="639"/>
      <c r="H9" s="751"/>
      <c r="I9" s="22"/>
      <c r="J9" s="735">
        <f ca="1">OFFSET(B40,0,C42)</f>
        <v>1.2</v>
      </c>
      <c r="K9" s="21"/>
      <c r="AG9" s="25"/>
      <c r="AH9" s="46"/>
      <c r="AI9" s="47"/>
      <c r="AJ9" s="47"/>
      <c r="AK9" s="25"/>
    </row>
    <row r="10" spans="2:44" ht="30" customHeight="1">
      <c r="B10" s="758" t="s">
        <v>259</v>
      </c>
      <c r="C10" s="757">
        <v>1</v>
      </c>
      <c r="D10" s="641" t="s">
        <v>472</v>
      </c>
      <c r="E10" s="642"/>
      <c r="F10" s="642"/>
      <c r="G10" s="643"/>
      <c r="H10" s="644"/>
      <c r="I10" s="22"/>
      <c r="J10" s="740" t="s">
        <v>240</v>
      </c>
      <c r="AG10" s="48"/>
      <c r="AH10" s="49"/>
      <c r="AI10" s="50"/>
      <c r="AJ10" s="50"/>
      <c r="AK10" s="48"/>
      <c r="AL10" s="33"/>
    </row>
    <row r="11" spans="2:44" ht="30" customHeight="1">
      <c r="B11" s="758"/>
      <c r="C11" s="757"/>
      <c r="D11" s="750" t="s">
        <v>463</v>
      </c>
      <c r="E11" s="750"/>
      <c r="F11" s="750"/>
      <c r="G11" s="750"/>
      <c r="H11" s="645"/>
      <c r="I11" s="22"/>
      <c r="J11" s="738"/>
      <c r="AG11" s="48"/>
      <c r="AH11" s="49"/>
      <c r="AI11" s="50"/>
      <c r="AJ11" s="50"/>
      <c r="AK11" s="48"/>
      <c r="AL11" s="33"/>
    </row>
    <row r="12" spans="2:44" ht="30" customHeight="1">
      <c r="B12" s="758"/>
      <c r="C12" s="757"/>
      <c r="D12" s="750" t="s">
        <v>464</v>
      </c>
      <c r="E12" s="750"/>
      <c r="F12" s="750"/>
      <c r="G12" s="750"/>
      <c r="H12" s="645"/>
      <c r="I12" s="22"/>
      <c r="J12" s="740" t="s">
        <v>148</v>
      </c>
      <c r="AG12" s="48"/>
      <c r="AH12" s="49"/>
      <c r="AI12" s="50"/>
      <c r="AJ12" s="50"/>
      <c r="AK12" s="48"/>
      <c r="AL12" s="33"/>
    </row>
    <row r="13" spans="2:44" ht="30" customHeight="1">
      <c r="B13" s="758"/>
      <c r="C13" s="757"/>
      <c r="D13" s="750" t="s">
        <v>476</v>
      </c>
      <c r="E13" s="750"/>
      <c r="F13" s="750"/>
      <c r="G13" s="750"/>
      <c r="H13" s="645"/>
      <c r="I13" s="22"/>
      <c r="J13" s="738"/>
      <c r="AG13" s="33"/>
      <c r="AH13" s="33"/>
      <c r="AI13" s="33"/>
      <c r="AJ13" s="33"/>
      <c r="AK13" s="33"/>
      <c r="AL13" s="33"/>
    </row>
    <row r="14" spans="2:44" ht="30" customHeight="1">
      <c r="B14" s="758"/>
      <c r="C14" s="757"/>
      <c r="D14" s="750" t="s">
        <v>53</v>
      </c>
      <c r="E14" s="750"/>
      <c r="F14" s="750"/>
      <c r="G14" s="750"/>
      <c r="H14" s="645"/>
      <c r="I14" s="22"/>
      <c r="J14" s="740" t="s">
        <v>167</v>
      </c>
      <c r="AG14" s="33"/>
      <c r="AH14" s="51"/>
      <c r="AI14" s="52"/>
      <c r="AJ14" s="52"/>
      <c r="AK14" s="33"/>
      <c r="AL14" s="33"/>
    </row>
    <row r="15" spans="2:44" ht="30" customHeight="1">
      <c r="B15" s="758"/>
      <c r="C15" s="757"/>
      <c r="D15" s="641" t="s">
        <v>52</v>
      </c>
      <c r="E15" s="642"/>
      <c r="F15" s="642"/>
      <c r="G15" s="643"/>
      <c r="H15" s="645"/>
      <c r="I15" s="22"/>
      <c r="J15" s="739"/>
      <c r="AG15" s="33"/>
      <c r="AH15" s="51"/>
      <c r="AI15" s="52"/>
      <c r="AJ15" s="52"/>
      <c r="AK15" s="33"/>
      <c r="AL15" s="33"/>
    </row>
    <row r="16" spans="2:44" ht="30" customHeight="1">
      <c r="B16" s="646" t="s">
        <v>353</v>
      </c>
      <c r="C16" s="640">
        <v>2</v>
      </c>
      <c r="D16" s="749" t="s">
        <v>574</v>
      </c>
      <c r="E16" s="749"/>
      <c r="F16" s="749"/>
      <c r="G16" s="749"/>
      <c r="H16" s="647" t="s">
        <v>175</v>
      </c>
      <c r="I16" s="22"/>
      <c r="J16" s="737" t="s">
        <v>241</v>
      </c>
      <c r="AG16" s="53"/>
      <c r="AH16" s="51"/>
      <c r="AI16" s="50"/>
      <c r="AJ16" s="35"/>
      <c r="AK16" s="33"/>
      <c r="AL16" s="33"/>
      <c r="AN16" s="45"/>
    </row>
    <row r="17" spans="2:40" ht="30" customHeight="1">
      <c r="B17" s="756" t="s">
        <v>270</v>
      </c>
      <c r="C17" s="640">
        <v>3</v>
      </c>
      <c r="D17" s="748" t="s">
        <v>575</v>
      </c>
      <c r="E17" s="748"/>
      <c r="F17" s="748"/>
      <c r="G17" s="748"/>
      <c r="H17" s="647" t="s">
        <v>175</v>
      </c>
      <c r="I17" s="22"/>
      <c r="J17" s="736" t="str">
        <f>IF(J11=0,"",J13/J11)</f>
        <v/>
      </c>
      <c r="AG17" s="53"/>
      <c r="AH17" s="51"/>
      <c r="AI17" s="50"/>
      <c r="AJ17" s="35"/>
      <c r="AK17" s="33"/>
      <c r="AL17" s="33"/>
      <c r="AN17" s="45"/>
    </row>
    <row r="18" spans="2:40" ht="30" customHeight="1">
      <c r="B18" s="756"/>
      <c r="C18" s="640">
        <v>4</v>
      </c>
      <c r="D18" s="749" t="s">
        <v>576</v>
      </c>
      <c r="E18" s="749"/>
      <c r="F18" s="749"/>
      <c r="G18" s="749"/>
      <c r="H18" s="648" t="s">
        <v>175</v>
      </c>
      <c r="I18" s="22"/>
      <c r="J18" s="740" t="s">
        <v>242</v>
      </c>
      <c r="AG18" s="53"/>
      <c r="AH18" s="51"/>
      <c r="AI18" s="50"/>
      <c r="AJ18" s="35"/>
      <c r="AK18" s="33"/>
      <c r="AL18" s="33"/>
    </row>
    <row r="19" spans="2:40" ht="30" customHeight="1">
      <c r="B19" s="659"/>
      <c r="C19" s="658"/>
      <c r="D19" s="659"/>
      <c r="E19" s="659"/>
      <c r="F19" s="660"/>
      <c r="G19" s="659"/>
      <c r="H19" s="661"/>
      <c r="I19" s="22"/>
      <c r="J19" s="656" t="str">
        <f>IF(J15=0," ",J15/J11)</f>
        <v xml:space="preserve"> </v>
      </c>
      <c r="AG19" s="53"/>
      <c r="AH19" s="51"/>
      <c r="AI19" s="50"/>
      <c r="AJ19" s="35"/>
      <c r="AK19" s="33"/>
      <c r="AL19" s="33"/>
    </row>
    <row r="20" spans="2:40" ht="30" customHeight="1">
      <c r="B20" s="657"/>
      <c r="C20" s="658"/>
      <c r="D20" s="659"/>
      <c r="E20" s="659"/>
      <c r="F20" s="660"/>
      <c r="G20" s="659"/>
      <c r="H20" s="661"/>
      <c r="I20" s="22"/>
      <c r="AG20" s="53"/>
      <c r="AH20" s="51"/>
      <c r="AI20" s="50"/>
      <c r="AJ20" s="35"/>
      <c r="AK20" s="33"/>
      <c r="AL20" s="33"/>
    </row>
    <row r="21" spans="2:40" ht="30" customHeight="1">
      <c r="B21" s="759" t="s">
        <v>238</v>
      </c>
      <c r="C21" s="760"/>
      <c r="D21" s="760"/>
      <c r="E21" s="760"/>
      <c r="F21" s="760"/>
      <c r="G21" s="760"/>
      <c r="H21" s="761"/>
      <c r="I21" s="268"/>
      <c r="J21" s="753" t="s">
        <v>245</v>
      </c>
      <c r="AG21" s="53"/>
      <c r="AH21" s="51"/>
      <c r="AI21" s="50"/>
      <c r="AJ21" s="35"/>
      <c r="AK21" s="33"/>
      <c r="AL21" s="33"/>
    </row>
    <row r="22" spans="2:40" ht="30" customHeight="1">
      <c r="B22" s="762"/>
      <c r="C22" s="763"/>
      <c r="D22" s="763"/>
      <c r="E22" s="763"/>
      <c r="F22" s="763"/>
      <c r="G22" s="763"/>
      <c r="H22" s="764"/>
      <c r="I22" s="22"/>
      <c r="J22" s="753"/>
      <c r="AG22" s="53"/>
      <c r="AH22" s="51"/>
      <c r="AI22" s="50"/>
      <c r="AJ22" s="35"/>
      <c r="AK22" s="33"/>
      <c r="AL22" s="33"/>
    </row>
    <row r="23" spans="2:40" ht="30" customHeight="1">
      <c r="B23" s="662"/>
      <c r="C23" s="658"/>
      <c r="D23" s="19"/>
      <c r="E23" s="19"/>
      <c r="F23" s="19"/>
      <c r="G23" s="19"/>
      <c r="H23" s="663"/>
      <c r="I23" s="22"/>
      <c r="J23" s="752" t="str">
        <f>Rajaukset!D50</f>
        <v/>
      </c>
      <c r="AG23" s="53"/>
      <c r="AH23" s="51"/>
      <c r="AI23" s="50"/>
      <c r="AJ23" s="35"/>
      <c r="AK23" s="33"/>
      <c r="AL23" s="33"/>
    </row>
    <row r="24" spans="2:40" ht="30" customHeight="1">
      <c r="B24" s="662"/>
      <c r="C24" s="658"/>
      <c r="D24" s="659"/>
      <c r="E24" s="659"/>
      <c r="F24" s="664" t="s">
        <v>327</v>
      </c>
      <c r="G24" s="19"/>
      <c r="H24" s="663"/>
      <c r="I24" s="22"/>
      <c r="J24" s="752"/>
      <c r="AG24" s="53"/>
      <c r="AH24" s="51"/>
      <c r="AI24" s="50"/>
      <c r="AJ24" s="35"/>
      <c r="AK24" s="33"/>
      <c r="AL24" s="33"/>
    </row>
    <row r="25" spans="2:40" ht="30" customHeight="1">
      <c r="B25" s="662"/>
      <c r="C25" s="658"/>
      <c r="D25" s="19"/>
      <c r="E25" s="19"/>
      <c r="F25" s="665"/>
      <c r="G25" s="19"/>
      <c r="H25" s="663"/>
      <c r="I25" s="22"/>
      <c r="J25" s="752"/>
      <c r="AG25" s="53"/>
      <c r="AH25" s="51"/>
      <c r="AI25" s="50"/>
      <c r="AJ25" s="35"/>
      <c r="AK25" s="33"/>
      <c r="AL25" s="33"/>
    </row>
    <row r="26" spans="2:40" ht="30" customHeight="1">
      <c r="B26" s="662"/>
      <c r="C26" s="658"/>
      <c r="D26" s="659"/>
      <c r="E26" s="659"/>
      <c r="F26" s="666" t="s">
        <v>328</v>
      </c>
      <c r="G26" s="19"/>
      <c r="H26" s="663"/>
      <c r="I26" s="22"/>
      <c r="J26" s="752"/>
      <c r="AG26" s="53"/>
      <c r="AH26" s="51"/>
      <c r="AI26" s="50"/>
      <c r="AJ26" s="35"/>
      <c r="AK26" s="33"/>
      <c r="AL26" s="33"/>
    </row>
    <row r="27" spans="2:40" ht="30" customHeight="1">
      <c r="B27" s="662"/>
      <c r="C27" s="658"/>
      <c r="D27" s="659"/>
      <c r="E27" s="659"/>
      <c r="F27" s="665"/>
      <c r="G27" s="19"/>
      <c r="H27" s="663"/>
      <c r="I27" s="22"/>
      <c r="J27" s="752"/>
      <c r="AG27" s="53"/>
      <c r="AH27" s="51"/>
      <c r="AI27" s="50"/>
      <c r="AJ27" s="35"/>
      <c r="AK27" s="33"/>
      <c r="AL27" s="33"/>
    </row>
    <row r="28" spans="2:40" ht="30" customHeight="1">
      <c r="B28" s="662"/>
      <c r="C28" s="658"/>
      <c r="D28" s="659"/>
      <c r="E28" s="659"/>
      <c r="F28" s="666" t="s">
        <v>329</v>
      </c>
      <c r="G28" s="19"/>
      <c r="H28" s="663"/>
      <c r="I28" s="22"/>
      <c r="J28" s="752"/>
      <c r="AG28" s="53"/>
      <c r="AH28" s="51"/>
      <c r="AI28" s="50"/>
      <c r="AJ28" s="35"/>
      <c r="AK28" s="33"/>
      <c r="AL28" s="33"/>
    </row>
    <row r="29" spans="2:40" ht="30" customHeight="1">
      <c r="B29" s="667"/>
      <c r="C29" s="658"/>
      <c r="D29" s="659"/>
      <c r="E29" s="659"/>
      <c r="F29" s="665"/>
      <c r="G29" s="668"/>
      <c r="H29" s="663"/>
      <c r="I29" s="22"/>
      <c r="J29" s="752"/>
      <c r="AG29" s="53"/>
      <c r="AH29" s="51"/>
      <c r="AI29" s="50"/>
      <c r="AJ29" s="35"/>
      <c r="AK29" s="33"/>
      <c r="AL29" s="33"/>
    </row>
    <row r="30" spans="2:40" ht="30" customHeight="1">
      <c r="B30" s="667"/>
      <c r="C30" s="658"/>
      <c r="D30" s="659"/>
      <c r="E30" s="659"/>
      <c r="F30" s="666" t="s">
        <v>330</v>
      </c>
      <c r="G30" s="669"/>
      <c r="H30" s="663"/>
      <c r="I30" s="22"/>
      <c r="J30" s="752"/>
      <c r="AG30" s="53"/>
      <c r="AH30" s="51"/>
      <c r="AI30" s="50"/>
      <c r="AJ30" s="35"/>
      <c r="AK30" s="33"/>
      <c r="AL30" s="33"/>
    </row>
    <row r="31" spans="2:40" ht="30" customHeight="1">
      <c r="B31" s="670"/>
      <c r="C31" s="658"/>
      <c r="D31" s="659"/>
      <c r="E31" s="659"/>
      <c r="F31" s="671" t="e">
        <f>(F25+F27)/(2*F27)*F29</f>
        <v>#DIV/0!</v>
      </c>
      <c r="G31" s="672"/>
      <c r="H31" s="663"/>
      <c r="I31" s="22"/>
      <c r="J31" s="752"/>
      <c r="AG31" s="53"/>
      <c r="AH31" s="51"/>
      <c r="AI31" s="50"/>
      <c r="AJ31" s="35"/>
      <c r="AK31" s="33"/>
      <c r="AL31" s="33"/>
    </row>
    <row r="32" spans="2:40" ht="30" customHeight="1">
      <c r="B32" s="754" t="s">
        <v>577</v>
      </c>
      <c r="C32" s="755"/>
      <c r="D32" s="658" t="s">
        <v>578</v>
      </c>
      <c r="E32" s="659"/>
      <c r="F32" s="19"/>
      <c r="G32" s="669"/>
      <c r="H32" s="663"/>
      <c r="I32" s="22"/>
      <c r="J32" s="752"/>
      <c r="AG32" s="53"/>
      <c r="AH32" s="51"/>
      <c r="AI32" s="50"/>
      <c r="AJ32" s="35"/>
      <c r="AK32" s="33"/>
      <c r="AL32" s="33"/>
    </row>
    <row r="33" spans="1:43" ht="30" customHeight="1">
      <c r="B33" s="673"/>
      <c r="C33" s="674"/>
      <c r="D33" s="675"/>
      <c r="E33" s="674"/>
      <c r="F33" s="674"/>
      <c r="G33" s="676"/>
      <c r="H33" s="677"/>
      <c r="I33" s="22"/>
      <c r="J33" s="752"/>
      <c r="AG33" s="53"/>
      <c r="AH33" s="51"/>
      <c r="AI33" s="50"/>
      <c r="AJ33" s="35"/>
      <c r="AK33" s="33"/>
      <c r="AL33" s="33"/>
    </row>
    <row r="34" spans="1:43" ht="30" customHeight="1" thickBot="1">
      <c r="B34" s="19"/>
      <c r="C34" s="19"/>
      <c r="D34" s="19"/>
      <c r="E34" s="19"/>
      <c r="F34" s="19"/>
      <c r="G34" s="669"/>
      <c r="H34" s="19"/>
      <c r="I34" s="22"/>
      <c r="J34" s="19"/>
      <c r="AG34" s="53"/>
      <c r="AH34" s="51"/>
      <c r="AI34" s="50"/>
      <c r="AJ34" s="35"/>
      <c r="AK34" s="33"/>
      <c r="AL34" s="33"/>
    </row>
    <row r="35" spans="1:43" ht="30" customHeight="1" thickBot="1">
      <c r="B35" s="678" t="s">
        <v>579</v>
      </c>
      <c r="C35" s="19"/>
      <c r="D35" s="19"/>
      <c r="E35" s="679"/>
      <c r="F35" s="19"/>
      <c r="G35" s="672"/>
      <c r="H35" s="19"/>
      <c r="I35" s="22"/>
      <c r="J35" s="653" t="s">
        <v>248</v>
      </c>
      <c r="AG35" s="53"/>
      <c r="AH35" s="51"/>
      <c r="AI35" s="50"/>
      <c r="AJ35" s="35"/>
      <c r="AK35" s="33"/>
      <c r="AL35" s="33"/>
    </row>
    <row r="36" spans="1:43" s="22" customFormat="1" ht="30" customHeight="1">
      <c r="B36" s="678" t="s">
        <v>239</v>
      </c>
      <c r="C36" s="19"/>
      <c r="D36" s="19"/>
      <c r="E36" s="19"/>
      <c r="F36" s="19"/>
      <c r="G36" s="19"/>
      <c r="H36" s="19"/>
      <c r="J36" s="19"/>
      <c r="AG36" s="55"/>
      <c r="AH36" s="51"/>
      <c r="AI36" s="50"/>
      <c r="AJ36" s="35"/>
      <c r="AK36" s="35"/>
      <c r="AL36" s="35"/>
    </row>
    <row r="37" spans="1:43" s="22" customFormat="1" ht="30" customHeight="1">
      <c r="B37" s="18"/>
      <c r="C37" s="23"/>
      <c r="D37" s="26"/>
      <c r="E37" s="26"/>
      <c r="F37" s="27"/>
      <c r="G37" s="27"/>
      <c r="H37" s="24"/>
      <c r="J37" s="19"/>
      <c r="AG37" s="55"/>
      <c r="AH37" s="51"/>
      <c r="AI37" s="50"/>
      <c r="AJ37" s="35"/>
      <c r="AK37" s="35"/>
      <c r="AL37" s="35"/>
    </row>
    <row r="38" spans="1:43" ht="30" hidden="1" customHeight="1">
      <c r="A38" s="291"/>
      <c r="B38" s="28" t="s">
        <v>246</v>
      </c>
      <c r="C38" s="29"/>
      <c r="D38" s="29"/>
      <c r="E38" s="29"/>
      <c r="F38" s="30"/>
      <c r="G38" s="30"/>
      <c r="H38" s="292"/>
      <c r="I38" s="22"/>
      <c r="K38" s="56"/>
      <c r="L38" s="56"/>
      <c r="M38" s="56"/>
      <c r="N38" s="57"/>
      <c r="O38" s="36"/>
      <c r="P38" s="36"/>
      <c r="Q38" s="36"/>
      <c r="R38" s="36"/>
      <c r="AG38" s="53"/>
      <c r="AH38" s="51"/>
      <c r="AI38" s="50"/>
      <c r="AJ38" s="35"/>
      <c r="AK38" s="33"/>
      <c r="AL38" s="33"/>
      <c r="AP38" s="36"/>
      <c r="AQ38" s="36"/>
    </row>
    <row r="39" spans="1:43" ht="20" hidden="1" customHeight="1">
      <c r="A39" s="31"/>
      <c r="B39" s="32"/>
      <c r="C39" s="273"/>
      <c r="D39" s="273"/>
      <c r="E39" s="273"/>
      <c r="F39" s="274"/>
      <c r="G39" s="274"/>
      <c r="H39" s="293"/>
      <c r="AL39" s="45"/>
    </row>
    <row r="40" spans="1:43" ht="20" hidden="1" customHeight="1">
      <c r="A40" s="31"/>
      <c r="B40" s="275" t="s">
        <v>144</v>
      </c>
      <c r="C40" s="276">
        <v>1.2</v>
      </c>
      <c r="D40" s="276">
        <v>1</v>
      </c>
      <c r="E40" s="276">
        <v>0.9</v>
      </c>
      <c r="F40" s="276">
        <v>0.8</v>
      </c>
      <c r="G40" s="276">
        <v>0.7</v>
      </c>
      <c r="H40" s="294">
        <v>0.5</v>
      </c>
      <c r="AL40" s="45"/>
    </row>
    <row r="41" spans="1:43" ht="20" hidden="1" customHeight="1">
      <c r="A41" s="59"/>
      <c r="B41" s="33"/>
      <c r="C41" s="741"/>
      <c r="D41" s="277"/>
      <c r="E41" s="277"/>
      <c r="F41" s="34"/>
      <c r="G41" s="34"/>
      <c r="H41" s="295"/>
      <c r="I41" s="32"/>
      <c r="AL41" s="45"/>
    </row>
    <row r="42" spans="1:43" ht="20" hidden="1" customHeight="1">
      <c r="A42" s="59">
        <v>1</v>
      </c>
      <c r="B42" s="33" t="s">
        <v>259</v>
      </c>
      <c r="C42" s="741">
        <v>1</v>
      </c>
      <c r="D42" s="49"/>
      <c r="E42" s="277"/>
      <c r="F42" s="34"/>
      <c r="G42" s="34"/>
      <c r="H42" s="295"/>
      <c r="I42" s="35"/>
      <c r="AL42" s="45"/>
    </row>
    <row r="43" spans="1:43" s="36" customFormat="1" ht="20" hidden="1" customHeight="1">
      <c r="A43" s="59">
        <v>3</v>
      </c>
      <c r="B43" s="33" t="s">
        <v>230</v>
      </c>
      <c r="C43" s="741">
        <f>IF(H17="-",0,H17)</f>
        <v>0</v>
      </c>
      <c r="D43" s="278" t="str">
        <f>IF(AND(C43&gt;0,C47&lt;=0),"- Lisää viivyttävä rakenne!","")</f>
        <v/>
      </c>
      <c r="E43" s="33"/>
      <c r="F43" s="34"/>
      <c r="G43" s="34"/>
      <c r="H43" s="295"/>
      <c r="I43" s="18"/>
      <c r="J43" s="18"/>
      <c r="K43" s="18"/>
      <c r="L43" s="18"/>
      <c r="M43" s="18"/>
      <c r="N43" s="18"/>
      <c r="O43" s="18"/>
      <c r="U43" s="18"/>
      <c r="V43" s="18"/>
      <c r="W43" s="18"/>
      <c r="X43" s="18"/>
      <c r="Y43" s="18"/>
      <c r="Z43" s="18"/>
      <c r="AA43" s="18"/>
      <c r="AB43" s="18"/>
      <c r="AE43" s="18"/>
      <c r="AF43" s="18"/>
      <c r="AG43" s="18"/>
      <c r="AH43" s="18"/>
      <c r="AI43" s="18"/>
      <c r="AJ43" s="18"/>
      <c r="AK43" s="18"/>
      <c r="AL43" s="45"/>
      <c r="AM43" s="18"/>
    </row>
    <row r="44" spans="1:43" s="36" customFormat="1" ht="20" hidden="1" customHeight="1">
      <c r="A44" s="59">
        <v>4</v>
      </c>
      <c r="B44" s="33" t="s">
        <v>231</v>
      </c>
      <c r="C44" s="741">
        <f>IF(H18="-",0,H18)</f>
        <v>0</v>
      </c>
      <c r="D44" s="278" t="str">
        <f>IF(AND(C44&gt;0,C48&lt;=0),"- Lisää biosuodatusrakenne!","")</f>
        <v/>
      </c>
      <c r="E44" s="33"/>
      <c r="F44" s="34"/>
      <c r="G44" s="34"/>
      <c r="H44" s="295"/>
      <c r="I44" s="18"/>
      <c r="J44" s="18"/>
      <c r="K44" s="18"/>
      <c r="L44" s="18"/>
      <c r="M44" s="18"/>
      <c r="N44" s="18"/>
      <c r="O44" s="18"/>
      <c r="U44" s="18"/>
      <c r="V44" s="18"/>
      <c r="W44" s="18"/>
      <c r="X44" s="18"/>
      <c r="Y44" s="18"/>
      <c r="Z44" s="18"/>
      <c r="AA44" s="18"/>
      <c r="AB44" s="18"/>
      <c r="AE44" s="18"/>
      <c r="AF44" s="18"/>
      <c r="AG44" s="18"/>
      <c r="AH44" s="18"/>
      <c r="AI44" s="18"/>
      <c r="AJ44" s="18"/>
      <c r="AK44" s="18"/>
      <c r="AL44" s="45"/>
      <c r="AM44" s="18"/>
    </row>
    <row r="45" spans="1:43" s="36" customFormat="1" ht="20" hidden="1" customHeight="1">
      <c r="A45" s="59"/>
      <c r="B45" s="71"/>
      <c r="C45" s="71"/>
      <c r="D45" s="279"/>
      <c r="E45" s="33"/>
      <c r="F45" s="34"/>
      <c r="G45" s="34"/>
      <c r="H45" s="295"/>
      <c r="I45" s="18"/>
      <c r="J45" s="18"/>
      <c r="K45" s="18"/>
      <c r="L45" s="18"/>
      <c r="M45" s="18"/>
      <c r="N45" s="18"/>
      <c r="O45" s="18"/>
      <c r="U45" s="18"/>
      <c r="V45" s="18"/>
      <c r="W45" s="18"/>
      <c r="X45" s="18"/>
      <c r="Y45" s="18"/>
      <c r="Z45" s="18"/>
      <c r="AA45" s="18"/>
      <c r="AB45" s="18"/>
      <c r="AE45" s="18"/>
      <c r="AF45" s="18"/>
      <c r="AG45" s="18"/>
      <c r="AH45" s="18"/>
      <c r="AI45" s="18"/>
      <c r="AJ45" s="18"/>
      <c r="AK45" s="18"/>
      <c r="AL45" s="45"/>
      <c r="AM45" s="18"/>
    </row>
    <row r="46" spans="1:43" s="36" customFormat="1" ht="20" hidden="1" customHeight="1">
      <c r="A46" s="59"/>
      <c r="B46" s="280" t="s">
        <v>261</v>
      </c>
      <c r="C46" s="741"/>
      <c r="D46" s="37"/>
      <c r="E46" s="33"/>
      <c r="F46" s="34"/>
      <c r="G46" s="34"/>
      <c r="H46" s="295"/>
      <c r="I46" s="18"/>
      <c r="J46" s="18"/>
      <c r="K46" s="18"/>
      <c r="L46" s="18"/>
      <c r="M46" s="18"/>
      <c r="N46" s="18"/>
      <c r="O46" s="18"/>
      <c r="U46" s="18"/>
      <c r="V46" s="32"/>
      <c r="W46" s="32"/>
      <c r="X46" s="32"/>
      <c r="Y46" s="32"/>
      <c r="Z46" s="32"/>
      <c r="AA46" s="18"/>
      <c r="AB46" s="18"/>
      <c r="AC46" s="60"/>
      <c r="AD46" s="60"/>
      <c r="AE46" s="61"/>
      <c r="AF46" s="18"/>
      <c r="AG46" s="18"/>
      <c r="AH46" s="18"/>
      <c r="AI46" s="18"/>
      <c r="AJ46" s="18"/>
      <c r="AK46" s="18"/>
      <c r="AL46" s="18"/>
      <c r="AM46" s="18"/>
    </row>
    <row r="47" spans="1:43" s="36" customFormat="1" ht="20" hidden="1" customHeight="1">
      <c r="A47" s="59"/>
      <c r="B47" s="281" t="s">
        <v>350</v>
      </c>
      <c r="C47" s="33">
        <f>SUM(Viherkerroin!I31:'Viherkerroin'!I33)</f>
        <v>0</v>
      </c>
      <c r="D47" s="282" t="str">
        <f>IF(AND(C43&lt;=0,C47&gt;0),"- Määritä viivytysrakenteen viivytystilan keskisyvyys (Rajaukset: Kysymys 5)!","")</f>
        <v/>
      </c>
      <c r="E47" s="33"/>
      <c r="F47" s="34"/>
      <c r="G47" s="34"/>
      <c r="H47" s="295"/>
      <c r="I47" s="18"/>
      <c r="J47" s="18"/>
      <c r="K47" s="18"/>
      <c r="L47" s="18"/>
      <c r="M47" s="18"/>
      <c r="N47" s="18"/>
      <c r="O47" s="18"/>
      <c r="U47" s="18"/>
      <c r="V47" s="49"/>
      <c r="W47" s="35"/>
      <c r="X47" s="35"/>
      <c r="Y47" s="35"/>
      <c r="Z47" s="35"/>
      <c r="AA47" s="18"/>
      <c r="AB47" s="18"/>
      <c r="AC47" s="62"/>
      <c r="AD47" s="62"/>
      <c r="AE47" s="46"/>
      <c r="AF47" s="18"/>
      <c r="AG47" s="18"/>
      <c r="AH47" s="18"/>
      <c r="AI47" s="18"/>
      <c r="AJ47" s="18"/>
      <c r="AK47" s="18"/>
      <c r="AL47" s="18"/>
      <c r="AM47" s="18"/>
    </row>
    <row r="48" spans="1:43" s="36" customFormat="1" ht="20" hidden="1" customHeight="1">
      <c r="A48" s="59"/>
      <c r="B48" s="283" t="s">
        <v>351</v>
      </c>
      <c r="C48" s="33">
        <f>SUM(Viherkerroin!I30,Viherkerroin!I34)</f>
        <v>0</v>
      </c>
      <c r="D48" s="282" t="str">
        <f>IF(AND(C44&lt;=0,C48&gt;0),"- Määritä biosuodatusrakenteen viivytystilan keskisyvyys (Rajaukset: Kysymys 6)!","")</f>
        <v/>
      </c>
      <c r="E48" s="277"/>
      <c r="F48" s="34"/>
      <c r="G48" s="34"/>
      <c r="H48" s="295"/>
      <c r="I48" s="35"/>
      <c r="K48" s="18"/>
      <c r="L48" s="18"/>
      <c r="M48" s="18"/>
      <c r="N48" s="18"/>
      <c r="O48" s="18"/>
      <c r="U48" s="18"/>
      <c r="V48" s="51"/>
      <c r="W48" s="35"/>
      <c r="X48" s="35"/>
      <c r="Y48" s="35"/>
      <c r="Z48" s="35"/>
      <c r="AA48" s="18"/>
      <c r="AB48" s="18"/>
      <c r="AC48" s="63"/>
      <c r="AD48" s="63"/>
      <c r="AE48" s="64"/>
      <c r="AF48" s="18"/>
      <c r="AG48" s="18"/>
      <c r="AH48" s="18"/>
      <c r="AI48" s="18"/>
      <c r="AJ48" s="18"/>
      <c r="AK48" s="18"/>
      <c r="AL48" s="18"/>
      <c r="AM48" s="18"/>
    </row>
    <row r="49" spans="1:39" s="36" customFormat="1" ht="20" hidden="1" customHeight="1">
      <c r="A49" s="59"/>
      <c r="B49" s="284"/>
      <c r="C49" s="33"/>
      <c r="D49" s="282"/>
      <c r="E49" s="277"/>
      <c r="F49" s="34"/>
      <c r="G49" s="34"/>
      <c r="H49" s="295"/>
      <c r="I49" s="35"/>
      <c r="K49" s="18"/>
      <c r="L49" s="18"/>
      <c r="M49" s="18"/>
      <c r="N49" s="18"/>
      <c r="O49" s="18"/>
      <c r="U49" s="18"/>
      <c r="V49" s="51"/>
      <c r="W49" s="35"/>
      <c r="X49" s="35"/>
      <c r="Y49" s="35"/>
      <c r="Z49" s="35"/>
      <c r="AA49" s="18"/>
      <c r="AB49" s="18"/>
      <c r="AC49" s="63"/>
      <c r="AD49" s="63"/>
      <c r="AE49" s="64"/>
      <c r="AF49" s="18"/>
      <c r="AG49" s="18"/>
      <c r="AH49" s="18"/>
      <c r="AI49" s="18"/>
      <c r="AJ49" s="18"/>
      <c r="AK49" s="18"/>
      <c r="AL49" s="18"/>
      <c r="AM49" s="18"/>
    </row>
    <row r="50" spans="1:39" s="36" customFormat="1" ht="80" hidden="1" customHeight="1">
      <c r="A50" s="65"/>
      <c r="B50" s="285" t="s">
        <v>233</v>
      </c>
      <c r="C50" s="33"/>
      <c r="D50" s="37" t="str">
        <f>D43&amp;IF(D43&lt;&gt;"",CHAR(10),"")&amp;D44&amp;IF(D44&lt;&gt;"",CHAR(10),"")&amp;D47&amp;IF(D47&lt;&gt;"",CHAR(10),"")&amp;D48&amp;IF(D48&lt;&gt;"",CHAR(10),"")</f>
        <v/>
      </c>
      <c r="E50" s="286"/>
      <c r="F50" s="286"/>
      <c r="G50" s="286"/>
      <c r="H50" s="295"/>
      <c r="I50" s="35"/>
      <c r="K50" s="18"/>
      <c r="L50" s="18"/>
      <c r="M50" s="18"/>
      <c r="N50" s="18"/>
      <c r="O50" s="18"/>
      <c r="U50" s="18"/>
      <c r="V50" s="51"/>
      <c r="W50" s="35"/>
      <c r="X50" s="35"/>
      <c r="Y50" s="35"/>
      <c r="Z50" s="35"/>
      <c r="AA50" s="18"/>
      <c r="AB50" s="18"/>
      <c r="AC50" s="63"/>
      <c r="AD50" s="63"/>
      <c r="AE50" s="64"/>
      <c r="AF50" s="18"/>
      <c r="AG50" s="18"/>
      <c r="AH50" s="18"/>
      <c r="AI50" s="18"/>
      <c r="AJ50" s="18"/>
      <c r="AK50" s="18"/>
      <c r="AL50" s="18"/>
      <c r="AM50" s="18"/>
    </row>
    <row r="51" spans="1:39" s="36" customFormat="1" ht="20" hidden="1" customHeight="1">
      <c r="A51" s="65"/>
      <c r="B51" s="285"/>
      <c r="C51" s="33"/>
      <c r="D51" s="37"/>
      <c r="E51" s="37"/>
      <c r="F51" s="37"/>
      <c r="G51" s="37"/>
      <c r="H51" s="295"/>
      <c r="I51" s="35"/>
      <c r="K51" s="18"/>
      <c r="L51" s="18"/>
      <c r="M51" s="18"/>
      <c r="N51" s="18"/>
      <c r="O51" s="18"/>
      <c r="U51" s="18"/>
      <c r="V51" s="51"/>
      <c r="W51" s="35"/>
      <c r="X51" s="35"/>
      <c r="Y51" s="35"/>
      <c r="Z51" s="35"/>
      <c r="AA51" s="18"/>
      <c r="AB51" s="18"/>
      <c r="AC51" s="63"/>
      <c r="AD51" s="63"/>
      <c r="AE51" s="64"/>
      <c r="AF51" s="18"/>
      <c r="AG51" s="18"/>
      <c r="AH51" s="18"/>
      <c r="AI51" s="18"/>
      <c r="AJ51" s="18"/>
      <c r="AK51" s="18"/>
      <c r="AL51" s="18"/>
      <c r="AM51" s="18"/>
    </row>
    <row r="52" spans="1:39" s="36" customFormat="1" ht="71" hidden="1" customHeight="1">
      <c r="A52" s="65"/>
      <c r="B52" s="287" t="s">
        <v>234</v>
      </c>
      <c r="C52" s="741"/>
      <c r="D52" s="37" t="str">
        <f>D43&amp;IF(D43&lt;&gt;"",CHAR(10),"")&amp;D44&amp;IF(D44&lt;&gt;"",CHAR(10),"")&amp;D47&amp;IF(D47&lt;&gt;"",CHAR(10),"")&amp;D48&amp;IF(D48&lt;&gt;"",CHAR(10),"")</f>
        <v/>
      </c>
      <c r="E52" s="286"/>
      <c r="F52" s="286"/>
      <c r="G52" s="37"/>
      <c r="H52" s="295"/>
      <c r="I52" s="35"/>
      <c r="K52" s="18"/>
      <c r="L52" s="18"/>
      <c r="M52" s="18"/>
      <c r="N52" s="18"/>
      <c r="O52" s="18"/>
      <c r="U52" s="18"/>
      <c r="V52" s="51"/>
      <c r="W52" s="35"/>
      <c r="X52" s="35"/>
      <c r="Y52" s="35"/>
      <c r="Z52" s="35"/>
      <c r="AA52" s="18"/>
      <c r="AB52" s="18"/>
      <c r="AC52" s="63"/>
      <c r="AD52" s="63"/>
      <c r="AE52" s="64"/>
      <c r="AF52" s="18"/>
      <c r="AG52" s="18"/>
      <c r="AH52" s="18"/>
      <c r="AI52" s="18"/>
      <c r="AJ52" s="18"/>
      <c r="AK52" s="18"/>
      <c r="AL52" s="18"/>
      <c r="AM52" s="18"/>
    </row>
    <row r="53" spans="1:39" s="36" customFormat="1" ht="20" hidden="1" customHeight="1">
      <c r="A53" s="65"/>
      <c r="B53" s="71"/>
      <c r="C53" s="71"/>
      <c r="D53" s="279"/>
      <c r="E53" s="37"/>
      <c r="F53" s="37"/>
      <c r="G53" s="37"/>
      <c r="H53" s="295"/>
      <c r="I53" s="35"/>
      <c r="K53" s="18"/>
      <c r="L53" s="18"/>
      <c r="M53" s="18"/>
      <c r="N53" s="18"/>
      <c r="O53" s="18"/>
      <c r="U53" s="18"/>
      <c r="V53" s="51"/>
      <c r="W53" s="35"/>
      <c r="X53" s="35"/>
      <c r="Y53" s="35"/>
      <c r="Z53" s="35"/>
      <c r="AA53" s="18"/>
      <c r="AB53" s="18"/>
      <c r="AC53" s="63"/>
      <c r="AD53" s="63"/>
      <c r="AE53" s="64"/>
      <c r="AF53" s="18"/>
      <c r="AG53" s="18"/>
      <c r="AH53" s="18"/>
      <c r="AI53" s="18"/>
      <c r="AJ53" s="18"/>
      <c r="AK53" s="18"/>
      <c r="AL53" s="18"/>
      <c r="AM53" s="18"/>
    </row>
    <row r="54" spans="1:39" s="36" customFormat="1" ht="20" hidden="1" customHeight="1">
      <c r="A54" s="68"/>
      <c r="B54" s="288" t="s">
        <v>260</v>
      </c>
      <c r="C54" s="289" t="e">
        <f>Tulokset!F18</f>
        <v>#DIV/0!</v>
      </c>
      <c r="D54" s="290" t="e">
        <f>IF(C54&gt;0,"- Osa hulevesistä jää viivyttämättä!","")</f>
        <v>#DIV/0!</v>
      </c>
      <c r="E54" s="272"/>
      <c r="F54" s="272"/>
      <c r="G54" s="272"/>
      <c r="H54" s="295"/>
      <c r="I54" s="35"/>
      <c r="J54" s="18"/>
      <c r="K54" s="18"/>
      <c r="L54" s="18"/>
      <c r="M54" s="18"/>
      <c r="N54" s="18"/>
      <c r="O54" s="18"/>
      <c r="U54" s="18"/>
      <c r="V54" s="51"/>
      <c r="W54" s="35"/>
      <c r="X54" s="35"/>
      <c r="Y54" s="35"/>
      <c r="Z54" s="35"/>
      <c r="AA54" s="18"/>
      <c r="AB54" s="18"/>
      <c r="AC54" s="63"/>
      <c r="AD54" s="63"/>
      <c r="AE54" s="64"/>
      <c r="AF54" s="18"/>
      <c r="AG54" s="18"/>
      <c r="AH54" s="18"/>
      <c r="AI54" s="18"/>
      <c r="AJ54" s="18"/>
      <c r="AK54" s="18"/>
      <c r="AL54" s="18"/>
      <c r="AM54" s="18"/>
    </row>
    <row r="55" spans="1:39" s="36" customFormat="1" ht="80" hidden="1" customHeight="1">
      <c r="A55" s="69"/>
      <c r="B55" s="39" t="s">
        <v>232</v>
      </c>
      <c r="C55" s="40"/>
      <c r="D55" s="41" t="e">
        <f>D54&amp;IF(D54&lt;&gt;"",CHAR(10),"")</f>
        <v>#DIV/0!</v>
      </c>
      <c r="E55" s="41"/>
      <c r="F55" s="41"/>
      <c r="G55" s="41"/>
      <c r="H55" s="296"/>
      <c r="I55" s="35"/>
      <c r="K55" s="18"/>
      <c r="L55" s="18"/>
      <c r="M55" s="18"/>
      <c r="N55" s="18"/>
      <c r="O55" s="18"/>
      <c r="U55" s="18"/>
      <c r="V55" s="51"/>
      <c r="W55" s="35"/>
      <c r="X55" s="35"/>
      <c r="Y55" s="35"/>
      <c r="Z55" s="35"/>
      <c r="AA55" s="18"/>
      <c r="AB55" s="18"/>
      <c r="AC55" s="63"/>
      <c r="AD55" s="63"/>
      <c r="AE55" s="64"/>
      <c r="AF55" s="18"/>
      <c r="AG55" s="18"/>
      <c r="AH55" s="18"/>
      <c r="AI55" s="18"/>
      <c r="AJ55" s="18"/>
      <c r="AK55" s="18"/>
      <c r="AL55" s="18"/>
      <c r="AM55" s="18"/>
    </row>
    <row r="56" spans="1:39" s="36" customFormat="1" ht="20" customHeight="1">
      <c r="A56" s="71"/>
      <c r="B56" s="18"/>
      <c r="C56" s="18"/>
      <c r="D56" s="18"/>
      <c r="E56" s="18"/>
      <c r="F56" s="18"/>
      <c r="G56" s="18"/>
      <c r="H56" s="18"/>
      <c r="I56" s="35"/>
      <c r="K56" s="18"/>
      <c r="L56" s="18"/>
      <c r="M56" s="18"/>
      <c r="N56" s="18"/>
      <c r="O56" s="18"/>
      <c r="U56" s="18"/>
      <c r="V56" s="54"/>
      <c r="W56" s="35"/>
      <c r="X56" s="35"/>
      <c r="Y56" s="35"/>
      <c r="Z56" s="35"/>
      <c r="AA56" s="18"/>
      <c r="AB56" s="18"/>
      <c r="AC56" s="66"/>
      <c r="AD56" s="66"/>
      <c r="AE56" s="45"/>
      <c r="AF56" s="18"/>
      <c r="AG56" s="18"/>
      <c r="AH56" s="18"/>
      <c r="AI56" s="18"/>
      <c r="AJ56" s="18"/>
      <c r="AK56" s="18"/>
      <c r="AL56" s="18"/>
      <c r="AM56" s="18"/>
    </row>
    <row r="57" spans="1:39" s="36" customFormat="1" ht="80" customHeight="1">
      <c r="B57" s="18"/>
      <c r="C57" s="18"/>
      <c r="D57" s="18"/>
      <c r="E57" s="18"/>
      <c r="F57" s="18"/>
      <c r="G57" s="18"/>
      <c r="H57" s="18"/>
      <c r="I57" s="35"/>
      <c r="K57" s="18"/>
      <c r="L57" s="18"/>
      <c r="M57" s="18"/>
      <c r="N57" s="18"/>
      <c r="O57" s="18"/>
      <c r="U57" s="18"/>
      <c r="V57" s="54"/>
      <c r="W57" s="35"/>
      <c r="X57" s="35"/>
      <c r="Y57" s="35"/>
      <c r="Z57" s="35"/>
      <c r="AA57" s="18"/>
      <c r="AB57" s="18"/>
      <c r="AC57" s="66"/>
      <c r="AD57" s="66"/>
      <c r="AE57" s="45"/>
      <c r="AF57" s="18"/>
      <c r="AG57" s="18"/>
      <c r="AH57" s="18"/>
      <c r="AI57" s="18"/>
      <c r="AJ57" s="18"/>
      <c r="AK57" s="18"/>
      <c r="AL57" s="18"/>
      <c r="AM57" s="18"/>
    </row>
    <row r="58" spans="1:39" s="36" customFormat="1" ht="80" customHeight="1">
      <c r="A58" s="34"/>
      <c r="B58" s="18"/>
      <c r="C58" s="18"/>
      <c r="D58" s="18"/>
      <c r="E58" s="18"/>
      <c r="F58" s="18"/>
      <c r="G58" s="18"/>
      <c r="H58" s="18"/>
      <c r="I58" s="35"/>
      <c r="J58" s="36" t="s">
        <v>278</v>
      </c>
      <c r="K58" s="18"/>
      <c r="L58" s="18"/>
      <c r="M58" s="18"/>
      <c r="N58" s="18"/>
      <c r="O58" s="18"/>
      <c r="U58" s="18"/>
      <c r="AA58" s="18"/>
      <c r="AB58" s="18"/>
      <c r="AC58" s="67"/>
      <c r="AD58" s="67"/>
      <c r="AE58" s="22"/>
      <c r="AF58" s="22"/>
      <c r="AG58" s="22"/>
      <c r="AH58" s="22"/>
      <c r="AI58" s="22"/>
      <c r="AJ58" s="22"/>
      <c r="AK58" s="18"/>
      <c r="AL58" s="18"/>
      <c r="AM58" s="18"/>
    </row>
    <row r="59" spans="1:39" s="36" customFormat="1" ht="80" customHeight="1">
      <c r="A59" s="71"/>
      <c r="B59" s="18"/>
      <c r="C59" s="18"/>
      <c r="D59" s="18"/>
      <c r="E59" s="18"/>
      <c r="F59" s="18"/>
      <c r="G59" s="18"/>
      <c r="H59" s="38"/>
      <c r="I59" s="35"/>
      <c r="K59" s="18"/>
      <c r="L59" s="18"/>
      <c r="M59" s="18"/>
      <c r="N59" s="18"/>
      <c r="O59" s="18"/>
      <c r="U59" s="18"/>
      <c r="AA59" s="18"/>
      <c r="AB59" s="18"/>
      <c r="AC59" s="67"/>
      <c r="AD59" s="67"/>
      <c r="AE59" s="22"/>
      <c r="AF59" s="22"/>
      <c r="AG59" s="22"/>
      <c r="AH59" s="22"/>
      <c r="AI59" s="22"/>
      <c r="AJ59" s="22"/>
      <c r="AK59" s="18"/>
      <c r="AL59" s="18"/>
      <c r="AM59" s="18"/>
    </row>
    <row r="60" spans="1:39" s="36" customFormat="1" ht="14.5" customHeight="1">
      <c r="A60" s="71"/>
      <c r="B60" s="18"/>
      <c r="C60" s="18"/>
      <c r="D60" s="18"/>
      <c r="E60" s="18"/>
      <c r="F60" s="18"/>
      <c r="G60" s="18"/>
      <c r="H60" s="37"/>
      <c r="I60" s="38"/>
      <c r="K60" s="18"/>
      <c r="L60" s="18"/>
      <c r="M60" s="18"/>
      <c r="N60" s="18"/>
      <c r="O60" s="18"/>
      <c r="U60" s="18"/>
      <c r="AA60" s="18"/>
      <c r="AB60" s="18"/>
      <c r="AC60" s="67"/>
      <c r="AD60" s="67"/>
      <c r="AE60" s="22"/>
      <c r="AF60" s="22"/>
      <c r="AG60" s="22"/>
      <c r="AH60" s="22"/>
      <c r="AI60" s="22"/>
      <c r="AJ60" s="22"/>
      <c r="AK60" s="18"/>
      <c r="AL60" s="18"/>
      <c r="AM60" s="18"/>
    </row>
    <row r="61" spans="1:39" s="20" customFormat="1" ht="14.5" customHeight="1">
      <c r="A61" s="36"/>
      <c r="B61" s="18"/>
      <c r="C61" s="18"/>
      <c r="D61" s="18"/>
      <c r="E61" s="18"/>
      <c r="F61" s="18"/>
      <c r="G61" s="18"/>
      <c r="H61" s="18"/>
      <c r="I61" s="35"/>
      <c r="AC61" s="70"/>
      <c r="AD61" s="70"/>
      <c r="AE61" s="70"/>
      <c r="AF61" s="70"/>
      <c r="AG61" s="70"/>
      <c r="AH61" s="70"/>
      <c r="AI61" s="70"/>
      <c r="AJ61" s="70"/>
    </row>
    <row r="62" spans="1:39" s="20" customFormat="1" ht="14.5" customHeight="1">
      <c r="A62" s="18"/>
      <c r="B62" s="18"/>
      <c r="C62" s="18"/>
      <c r="D62" s="18"/>
      <c r="E62" s="18"/>
      <c r="F62" s="18"/>
      <c r="G62" s="18"/>
      <c r="H62" s="18"/>
      <c r="I62" s="35"/>
      <c r="AC62" s="70"/>
      <c r="AD62" s="70"/>
      <c r="AE62" s="70"/>
      <c r="AF62" s="70"/>
      <c r="AG62" s="70"/>
      <c r="AH62" s="70"/>
      <c r="AI62" s="70"/>
      <c r="AJ62" s="70"/>
    </row>
    <row r="63" spans="1:39" ht="14.5" customHeight="1">
      <c r="I63" s="36"/>
    </row>
    <row r="64" spans="1:39" s="36" customFormat="1" ht="14.5" customHeight="1">
      <c r="A64" s="18"/>
      <c r="B64" s="18"/>
      <c r="C64" s="18"/>
      <c r="D64" s="18"/>
      <c r="E64" s="18"/>
      <c r="F64" s="18"/>
      <c r="G64" s="18"/>
      <c r="H64" s="18"/>
      <c r="K64" s="18"/>
      <c r="L64" s="18"/>
      <c r="M64" s="18"/>
      <c r="N64" s="18"/>
      <c r="O64" s="18"/>
      <c r="U64" s="18"/>
      <c r="V64" s="18"/>
      <c r="W64" s="18"/>
      <c r="X64" s="18"/>
      <c r="Y64" s="18"/>
      <c r="Z64" s="18"/>
      <c r="AA64" s="18"/>
      <c r="AB64" s="18"/>
      <c r="AC64" s="67"/>
      <c r="AD64" s="67"/>
      <c r="AE64" s="22"/>
      <c r="AF64" s="22"/>
      <c r="AG64" s="22"/>
      <c r="AH64" s="22"/>
      <c r="AI64" s="22"/>
      <c r="AJ64" s="22"/>
      <c r="AK64" s="18"/>
      <c r="AL64" s="18"/>
      <c r="AM64" s="18"/>
    </row>
    <row r="65" spans="1:39" s="36" customFormat="1" ht="14.5" customHeight="1">
      <c r="A65" s="18"/>
      <c r="B65" s="18"/>
      <c r="C65" s="18"/>
      <c r="D65" s="18"/>
      <c r="E65" s="18"/>
      <c r="F65" s="18"/>
      <c r="G65" s="18"/>
      <c r="H65" s="18"/>
      <c r="K65" s="18"/>
      <c r="L65" s="18"/>
      <c r="M65" s="18"/>
      <c r="N65" s="18"/>
      <c r="O65" s="18"/>
      <c r="U65" s="18"/>
      <c r="V65" s="18"/>
      <c r="W65" s="18"/>
      <c r="X65" s="18"/>
      <c r="Y65" s="18"/>
      <c r="Z65" s="18"/>
      <c r="AA65" s="18"/>
      <c r="AB65" s="18"/>
      <c r="AC65" s="67"/>
      <c r="AD65" s="67"/>
      <c r="AE65" s="22"/>
      <c r="AF65" s="22"/>
      <c r="AG65" s="22"/>
      <c r="AH65" s="22"/>
      <c r="AI65" s="22"/>
      <c r="AJ65" s="22"/>
      <c r="AK65" s="18"/>
      <c r="AL65" s="18"/>
      <c r="AM65" s="18"/>
    </row>
    <row r="66" spans="1:39" s="36" customFormat="1" ht="14.5" customHeight="1">
      <c r="A66" s="18"/>
      <c r="B66" s="18"/>
      <c r="C66" s="18"/>
      <c r="D66" s="18"/>
      <c r="E66" s="18"/>
      <c r="F66" s="18"/>
      <c r="G66" s="18"/>
      <c r="H66" s="18"/>
      <c r="K66" s="18"/>
      <c r="L66" s="18"/>
      <c r="M66" s="18"/>
      <c r="N66" s="18"/>
      <c r="O66" s="18"/>
      <c r="U66" s="18"/>
      <c r="V66" s="18"/>
      <c r="W66" s="18"/>
      <c r="X66" s="18"/>
      <c r="Y66" s="18"/>
      <c r="Z66" s="18"/>
      <c r="AA66" s="18"/>
      <c r="AB66" s="18"/>
      <c r="AC66" s="67"/>
      <c r="AD66" s="67"/>
      <c r="AE66" s="22"/>
      <c r="AF66" s="22"/>
      <c r="AG66" s="22"/>
      <c r="AH66" s="22"/>
      <c r="AI66" s="22"/>
      <c r="AJ66" s="22"/>
      <c r="AK66" s="18"/>
      <c r="AL66" s="45"/>
      <c r="AM66" s="18"/>
    </row>
    <row r="67" spans="1:39" s="36" customFormat="1" ht="14.5" customHeight="1">
      <c r="A67" s="18"/>
      <c r="B67" s="18"/>
      <c r="C67" s="18"/>
      <c r="D67" s="18"/>
      <c r="E67" s="18"/>
      <c r="F67" s="18"/>
      <c r="G67" s="18"/>
      <c r="H67" s="18"/>
      <c r="I67" s="22"/>
      <c r="K67" s="18"/>
      <c r="L67" s="18"/>
      <c r="M67" s="18"/>
      <c r="N67" s="18"/>
      <c r="O67" s="18"/>
      <c r="U67" s="18"/>
      <c r="V67" s="18"/>
      <c r="W67" s="18"/>
      <c r="X67" s="18"/>
      <c r="Y67" s="18"/>
      <c r="Z67" s="18"/>
      <c r="AA67" s="18"/>
      <c r="AB67" s="18"/>
      <c r="AC67" s="67"/>
      <c r="AD67" s="67"/>
      <c r="AE67" s="22"/>
      <c r="AF67" s="22"/>
      <c r="AG67" s="22"/>
      <c r="AH67" s="22"/>
      <c r="AI67" s="22"/>
      <c r="AJ67" s="22"/>
      <c r="AK67" s="18"/>
      <c r="AL67" s="18"/>
      <c r="AM67" s="18"/>
    </row>
    <row r="68" spans="1:39" s="36" customFormat="1" ht="14.5" customHeight="1">
      <c r="A68" s="18"/>
      <c r="B68" s="18"/>
      <c r="C68" s="18"/>
      <c r="D68" s="18"/>
      <c r="E68" s="18"/>
      <c r="F68" s="18"/>
      <c r="G68" s="18"/>
      <c r="H68" s="18"/>
      <c r="I68" s="22"/>
      <c r="K68" s="18"/>
      <c r="L68" s="18"/>
      <c r="M68" s="18"/>
      <c r="N68" s="18"/>
      <c r="O68" s="18"/>
      <c r="AC68" s="67"/>
      <c r="AD68" s="67"/>
      <c r="AE68" s="22"/>
      <c r="AF68" s="22"/>
      <c r="AG68" s="22"/>
      <c r="AH68" s="22"/>
      <c r="AI68" s="22"/>
      <c r="AJ68" s="22"/>
      <c r="AK68" s="18"/>
      <c r="AL68" s="18"/>
      <c r="AM68" s="18"/>
    </row>
    <row r="69" spans="1:39" ht="14.5" customHeight="1">
      <c r="I69" s="22"/>
      <c r="AC69" s="22"/>
      <c r="AD69" s="22"/>
      <c r="AE69" s="22"/>
      <c r="AF69" s="22"/>
      <c r="AG69" s="22"/>
      <c r="AH69" s="22"/>
      <c r="AI69" s="22"/>
      <c r="AJ69" s="22"/>
    </row>
    <row r="70" spans="1:39" ht="14.5" customHeight="1">
      <c r="AC70" s="22"/>
      <c r="AD70" s="22"/>
      <c r="AE70" s="22"/>
      <c r="AF70" s="22"/>
      <c r="AG70" s="22"/>
      <c r="AH70" s="22"/>
      <c r="AI70" s="22"/>
      <c r="AJ70" s="22"/>
    </row>
    <row r="71" spans="1:39" ht="14.5" customHeight="1">
      <c r="J71" s="35"/>
    </row>
    <row r="72" spans="1:39" ht="14.5" customHeight="1">
      <c r="J72" s="35"/>
    </row>
    <row r="73" spans="1:39" ht="14.5" customHeight="1">
      <c r="J73" s="35"/>
    </row>
    <row r="74" spans="1:39" ht="14.5" customHeight="1">
      <c r="J74" s="35"/>
    </row>
    <row r="75" spans="1:39" ht="14.5" customHeight="1">
      <c r="J75" s="36"/>
    </row>
    <row r="76" spans="1:39" ht="14.5" customHeight="1">
      <c r="J76" s="36"/>
    </row>
    <row r="77" spans="1:39" ht="14.5" customHeight="1">
      <c r="J77" s="36"/>
    </row>
    <row r="78" spans="1:39" ht="14.5" customHeight="1">
      <c r="J78" s="36"/>
    </row>
    <row r="79" spans="1:39">
      <c r="J79" s="35"/>
    </row>
    <row r="80" spans="1:39">
      <c r="J80" s="35"/>
    </row>
    <row r="81" spans="10:10">
      <c r="J81" s="35"/>
    </row>
    <row r="82" spans="10:10">
      <c r="J82" s="35"/>
    </row>
    <row r="83" spans="10:10">
      <c r="J83" s="22"/>
    </row>
    <row r="84" spans="10:10">
      <c r="J84" s="22"/>
    </row>
    <row r="85" spans="10:10">
      <c r="J85" s="22"/>
    </row>
  </sheetData>
  <sheetProtection algorithmName="SHA-512" hashValue="y8i/tgJAQ5HAoDupBk3MbJq1PswXVxqia3Ads/vc1xNEpR38ofo9IuVbsnVCelPDsPIiJFoJMKVwaiwxupOnTw==" saltValue="pru5xbZZujGG0Mak38mY+w==" spinCount="100000" sheet="1" objects="1" scenarios="1"/>
  <customSheetViews>
    <customSheetView guid="{C0826E8D-7112-6B45-A18A-1E6622F31D95}" scale="130" topLeftCell="A15">
      <selection activeCell="D18" sqref="D18:G18"/>
      <pageMargins left="0.7" right="0.7" top="0.75" bottom="0.75" header="0.3" footer="0.3"/>
      <pageSetup paperSize="9" orientation="portrait" horizontalDpi="4294967293" r:id="rId1"/>
    </customSheetView>
  </customSheetViews>
  <mergeCells count="19">
    <mergeCell ref="J23:J33"/>
    <mergeCell ref="J21:J22"/>
    <mergeCell ref="B32:C32"/>
    <mergeCell ref="C8:C9"/>
    <mergeCell ref="B8:B9"/>
    <mergeCell ref="H8:H9"/>
    <mergeCell ref="D11:G11"/>
    <mergeCell ref="D16:G16"/>
    <mergeCell ref="B17:B18"/>
    <mergeCell ref="C10:C15"/>
    <mergeCell ref="B10:B15"/>
    <mergeCell ref="B21:H22"/>
    <mergeCell ref="AG8:AH8"/>
    <mergeCell ref="D17:G17"/>
    <mergeCell ref="D18:G18"/>
    <mergeCell ref="D14:G14"/>
    <mergeCell ref="D12:G12"/>
    <mergeCell ref="D8:F9"/>
    <mergeCell ref="D13:G13"/>
  </mergeCells>
  <hyperlinks>
    <hyperlink ref="J6" location="Ohjeet!A1" display="Ohjeet" xr:uid="{BD241405-09F0-3D4A-8178-DACA4B6F5738}"/>
    <hyperlink ref="J35" location="Viherkerroin!A1" display="Seuraava" xr:uid="{A2AB4D7D-A3A4-A241-A435-34B9A2850A1F}"/>
  </hyperlinks>
  <pageMargins left="0.7" right="0.7" top="0.75" bottom="0.75" header="0.3" footer="0.3"/>
  <pageSetup paperSize="9" orientation="portrait" horizontalDpi="4294967293" r:id="rId2"/>
  <drawing r:id="rId3"/>
  <legacyDrawing r:id="rId4"/>
  <mc:AlternateContent xmlns:mc="http://schemas.openxmlformats.org/markup-compatibility/2006">
    <mc:Choice Requires="x14">
      <controls>
        <mc:AlternateContent xmlns:mc="http://schemas.openxmlformats.org/markup-compatibility/2006">
          <mc:Choice Requires="x14">
            <control shapeId="3140" r:id="rId5" name="Option Button 68">
              <controlPr defaultSize="0" autoFill="0" autoLine="0" autoPict="0">
                <anchor moveWithCells="1">
                  <from>
                    <xdr:col>7</xdr:col>
                    <xdr:colOff>444500</xdr:colOff>
                    <xdr:row>9</xdr:row>
                    <xdr:rowOff>25400</xdr:rowOff>
                  </from>
                  <to>
                    <xdr:col>7</xdr:col>
                    <xdr:colOff>685800</xdr:colOff>
                    <xdr:row>9</xdr:row>
                    <xdr:rowOff>355600</xdr:rowOff>
                  </to>
                </anchor>
              </controlPr>
            </control>
          </mc:Choice>
        </mc:AlternateContent>
        <mc:AlternateContent xmlns:mc="http://schemas.openxmlformats.org/markup-compatibility/2006">
          <mc:Choice Requires="x14">
            <control shapeId="3141" r:id="rId6" name="Option Button 69">
              <controlPr defaultSize="0" autoFill="0" autoLine="0" autoPict="0">
                <anchor moveWithCells="1">
                  <from>
                    <xdr:col>7</xdr:col>
                    <xdr:colOff>444500</xdr:colOff>
                    <xdr:row>10</xdr:row>
                    <xdr:rowOff>25400</xdr:rowOff>
                  </from>
                  <to>
                    <xdr:col>7</xdr:col>
                    <xdr:colOff>711200</xdr:colOff>
                    <xdr:row>10</xdr:row>
                    <xdr:rowOff>355600</xdr:rowOff>
                  </to>
                </anchor>
              </controlPr>
            </control>
          </mc:Choice>
        </mc:AlternateContent>
        <mc:AlternateContent xmlns:mc="http://schemas.openxmlformats.org/markup-compatibility/2006">
          <mc:Choice Requires="x14">
            <control shapeId="3142" r:id="rId7" name="Option Button 70">
              <controlPr defaultSize="0" autoFill="0" autoLine="0" autoPict="0">
                <anchor moveWithCells="1">
                  <from>
                    <xdr:col>7</xdr:col>
                    <xdr:colOff>444500</xdr:colOff>
                    <xdr:row>11</xdr:row>
                    <xdr:rowOff>25400</xdr:rowOff>
                  </from>
                  <to>
                    <xdr:col>7</xdr:col>
                    <xdr:colOff>698500</xdr:colOff>
                    <xdr:row>11</xdr:row>
                    <xdr:rowOff>355600</xdr:rowOff>
                  </to>
                </anchor>
              </controlPr>
            </control>
          </mc:Choice>
        </mc:AlternateContent>
        <mc:AlternateContent xmlns:mc="http://schemas.openxmlformats.org/markup-compatibility/2006">
          <mc:Choice Requires="x14">
            <control shapeId="3143" r:id="rId8" name="Option Button 71">
              <controlPr defaultSize="0" autoFill="0" autoLine="0" autoPict="0">
                <anchor moveWithCells="1">
                  <from>
                    <xdr:col>7</xdr:col>
                    <xdr:colOff>444500</xdr:colOff>
                    <xdr:row>12</xdr:row>
                    <xdr:rowOff>25400</xdr:rowOff>
                  </from>
                  <to>
                    <xdr:col>7</xdr:col>
                    <xdr:colOff>685800</xdr:colOff>
                    <xdr:row>12</xdr:row>
                    <xdr:rowOff>355600</xdr:rowOff>
                  </to>
                </anchor>
              </controlPr>
            </control>
          </mc:Choice>
        </mc:AlternateContent>
        <mc:AlternateContent xmlns:mc="http://schemas.openxmlformats.org/markup-compatibility/2006">
          <mc:Choice Requires="x14">
            <control shapeId="3152" r:id="rId9" name="Group Box 80">
              <controlPr defaultSize="0" autoFill="0" autoPict="0">
                <anchor moveWithCells="1">
                  <from>
                    <xdr:col>7</xdr:col>
                    <xdr:colOff>0</xdr:colOff>
                    <xdr:row>15</xdr:row>
                    <xdr:rowOff>0</xdr:rowOff>
                  </from>
                  <to>
                    <xdr:col>8</xdr:col>
                    <xdr:colOff>0</xdr:colOff>
                    <xdr:row>15</xdr:row>
                    <xdr:rowOff>368300</xdr:rowOff>
                  </to>
                </anchor>
              </controlPr>
            </control>
          </mc:Choice>
        </mc:AlternateContent>
        <mc:AlternateContent xmlns:mc="http://schemas.openxmlformats.org/markup-compatibility/2006">
          <mc:Choice Requires="x14">
            <control shapeId="3145" r:id="rId10" name="Group Box 73">
              <controlPr defaultSize="0" autoFill="0" autoPict="0">
                <anchor moveWithCells="1">
                  <from>
                    <xdr:col>6</xdr:col>
                    <xdr:colOff>444500</xdr:colOff>
                    <xdr:row>9</xdr:row>
                    <xdr:rowOff>12700</xdr:rowOff>
                  </from>
                  <to>
                    <xdr:col>8</xdr:col>
                    <xdr:colOff>0</xdr:colOff>
                    <xdr:row>14</xdr:row>
                    <xdr:rowOff>368300</xdr:rowOff>
                  </to>
                </anchor>
              </controlPr>
            </control>
          </mc:Choice>
        </mc:AlternateContent>
        <mc:AlternateContent xmlns:mc="http://schemas.openxmlformats.org/markup-compatibility/2006">
          <mc:Choice Requires="x14">
            <control shapeId="3153" r:id="rId11" name="Option Button 81">
              <controlPr defaultSize="0" autoFill="0" autoLine="0" autoPict="0">
                <anchor moveWithCells="1">
                  <from>
                    <xdr:col>7</xdr:col>
                    <xdr:colOff>444500</xdr:colOff>
                    <xdr:row>13</xdr:row>
                    <xdr:rowOff>25400</xdr:rowOff>
                  </from>
                  <to>
                    <xdr:col>7</xdr:col>
                    <xdr:colOff>685800</xdr:colOff>
                    <xdr:row>13</xdr:row>
                    <xdr:rowOff>355600</xdr:rowOff>
                  </to>
                </anchor>
              </controlPr>
            </control>
          </mc:Choice>
        </mc:AlternateContent>
        <mc:AlternateContent xmlns:mc="http://schemas.openxmlformats.org/markup-compatibility/2006">
          <mc:Choice Requires="x14">
            <control shapeId="3154" r:id="rId12" name="Option Button 82">
              <controlPr defaultSize="0" autoFill="0" autoLine="0" autoPict="0">
                <anchor moveWithCells="1">
                  <from>
                    <xdr:col>7</xdr:col>
                    <xdr:colOff>444500</xdr:colOff>
                    <xdr:row>14</xdr:row>
                    <xdr:rowOff>25400</xdr:rowOff>
                  </from>
                  <to>
                    <xdr:col>7</xdr:col>
                    <xdr:colOff>711200</xdr:colOff>
                    <xdr:row>14</xdr:row>
                    <xdr:rowOff>355600</xdr:rowOff>
                  </to>
                </anchor>
              </controlPr>
            </control>
          </mc:Choice>
        </mc:AlternateContent>
      </controls>
    </mc:Choice>
  </mc:AlternateContent>
  <extLst>
    <ext xmlns:x14="http://schemas.microsoft.com/office/spreadsheetml/2009/9/main" uri="{CCE6A557-97BC-4b89-ADB6-D9C93CAAB3DF}">
      <x14:dataValidations xmlns:xm="http://schemas.microsoft.com/office/excel/2006/main" disablePrompts="1" xWindow="1113" yWindow="705" count="3">
        <x14:dataValidation type="list" allowBlank="1" showInputMessage="1" showErrorMessage="1" prompt="Valitse yksi pudotusvalikon vaihtoehdoista." xr:uid="{BAE213E7-C497-45A5-A8CF-758934FE6A39}">
          <x14:formula1>
            <xm:f>Kelpoisuusehdot!$C$2:$C$6</xm:f>
          </x14:formula1>
          <xm:sqref>H16</xm:sqref>
        </x14:dataValidation>
        <x14:dataValidation type="list" allowBlank="1" showInputMessage="1" showErrorMessage="1" prompt="Valitse yksi pudotusvalikon vaihtoehdoista." xr:uid="{80741E8A-E2BC-4DBA-BB2D-CAA393FD8E18}">
          <x14:formula1>
            <xm:f>Kelpoisuusehdot!$B$2:$B$17</xm:f>
          </x14:formula1>
          <xm:sqref>H18</xm:sqref>
        </x14:dataValidation>
        <x14:dataValidation type="list" allowBlank="1" showInputMessage="1" showErrorMessage="1" prompt="Valitse yksi pudotusvalikon vaihtoehdoista." xr:uid="{3643C6CB-CAC0-4860-9256-3477800547FC}">
          <x14:formula1>
            <xm:f>Kelpoisuusehdot!$A$2:$A$18</xm:f>
          </x14:formula1>
          <xm:sqref>H17</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A6D9C4"/>
    <pageSetUpPr fitToPage="1"/>
  </sheetPr>
  <dimension ref="B1:AD53"/>
  <sheetViews>
    <sheetView zoomScaleNormal="100" workbookViewId="0">
      <selection activeCell="I3" sqref="I3"/>
    </sheetView>
  </sheetViews>
  <sheetFormatPr baseColWidth="10" defaultColWidth="9.1640625" defaultRowHeight="14"/>
  <cols>
    <col min="1" max="1" width="3.33203125" style="74" customWidth="1"/>
    <col min="2" max="2" width="45.83203125" style="74" customWidth="1"/>
    <col min="3" max="3" width="5.83203125" style="74" customWidth="1"/>
    <col min="4" max="4" width="17" style="74" customWidth="1"/>
    <col min="5" max="5" width="5.83203125" style="74" customWidth="1"/>
    <col min="6" max="6" width="30.83203125" style="74" customWidth="1"/>
    <col min="7" max="7" width="100.83203125" style="74" customWidth="1"/>
    <col min="8" max="8" width="10.83203125" style="74" customWidth="1"/>
    <col min="9" max="10" width="15.83203125" style="74" customWidth="1"/>
    <col min="11" max="11" width="13.6640625" style="20" hidden="1" customWidth="1"/>
    <col min="12" max="13" width="15.83203125" style="18" customWidth="1"/>
    <col min="14" max="14" width="5.33203125" style="18" customWidth="1"/>
    <col min="15" max="15" width="104.1640625" style="18" bestFit="1" customWidth="1"/>
    <col min="16" max="16" width="11.1640625" style="18" customWidth="1"/>
    <col min="17" max="17" width="10.5" style="18" customWidth="1"/>
    <col min="18" max="18" width="9.5" style="18" customWidth="1"/>
    <col min="19" max="19" width="15.83203125" style="74" hidden="1" customWidth="1"/>
    <col min="20" max="20" width="20.83203125" style="74" hidden="1" customWidth="1"/>
    <col min="21" max="26" width="15.83203125" style="74" hidden="1" customWidth="1"/>
    <col min="27" max="28" width="10.83203125" style="74" hidden="1" customWidth="1"/>
    <col min="29" max="30" width="15.83203125" style="74" hidden="1" customWidth="1"/>
    <col min="31" max="32" width="9.1640625" style="74" customWidth="1"/>
    <col min="33" max="16384" width="9.1640625" style="74"/>
  </cols>
  <sheetData>
    <row r="1" spans="2:30" ht="20" customHeight="1" thickBot="1"/>
    <row r="2" spans="2:30" ht="60" customHeight="1" thickBot="1">
      <c r="B2" s="310" t="s">
        <v>3</v>
      </c>
      <c r="C2" s="305"/>
      <c r="D2" s="791" t="s">
        <v>107</v>
      </c>
      <c r="E2" s="792"/>
      <c r="F2" s="320" t="s">
        <v>158</v>
      </c>
      <c r="G2" s="306"/>
      <c r="H2" s="308" t="s">
        <v>151</v>
      </c>
      <c r="I2" s="314" t="s">
        <v>359</v>
      </c>
      <c r="J2" s="307" t="s">
        <v>0</v>
      </c>
      <c r="K2" s="334" t="s">
        <v>172</v>
      </c>
      <c r="L2" s="309" t="s">
        <v>150</v>
      </c>
      <c r="M2" s="319" t="s">
        <v>187</v>
      </c>
      <c r="N2" s="73"/>
      <c r="O2" s="73"/>
      <c r="P2" s="73"/>
      <c r="Q2" s="73"/>
      <c r="R2" s="73"/>
      <c r="S2" s="175" t="s">
        <v>343</v>
      </c>
      <c r="T2" s="176" t="s">
        <v>344</v>
      </c>
      <c r="U2" s="176" t="s">
        <v>345</v>
      </c>
      <c r="V2" s="176" t="s">
        <v>346</v>
      </c>
      <c r="W2" s="176" t="s">
        <v>343</v>
      </c>
      <c r="X2" s="176" t="s">
        <v>344</v>
      </c>
      <c r="Y2" s="176" t="s">
        <v>345</v>
      </c>
      <c r="Z2" s="176" t="s">
        <v>346</v>
      </c>
      <c r="AA2" s="176"/>
      <c r="AB2" s="176"/>
      <c r="AC2" s="176" t="s">
        <v>177</v>
      </c>
      <c r="AD2" s="177" t="s">
        <v>178</v>
      </c>
    </row>
    <row r="3" spans="2:30" ht="30" customHeight="1">
      <c r="B3" s="311" t="str">
        <f>IF(B7=0,"Täytä rajaukset ensin!",B9/B7)</f>
        <v>Täytä rajaukset ensin!</v>
      </c>
      <c r="C3" s="75"/>
      <c r="D3" s="769" t="s">
        <v>54</v>
      </c>
      <c r="E3" s="772" t="s">
        <v>252</v>
      </c>
      <c r="F3" s="765" t="s">
        <v>466</v>
      </c>
      <c r="G3" s="597" t="s">
        <v>566</v>
      </c>
      <c r="H3" s="476" t="s">
        <v>153</v>
      </c>
      <c r="I3" s="324"/>
      <c r="J3" s="477">
        <f>Painokertoimet!M2</f>
        <v>3.4673611111111109</v>
      </c>
      <c r="K3" s="478">
        <f>I3*25</f>
        <v>0</v>
      </c>
      <c r="L3" s="329">
        <f>I3*25*J3</f>
        <v>0</v>
      </c>
      <c r="M3" s="585">
        <v>0.1</v>
      </c>
      <c r="N3" s="76"/>
      <c r="O3" s="95" t="s">
        <v>594</v>
      </c>
      <c r="P3" s="244"/>
      <c r="Q3" s="76"/>
      <c r="R3" s="76"/>
      <c r="S3" s="77"/>
      <c r="T3" s="78"/>
      <c r="U3" s="79">
        <f>K3</f>
        <v>0</v>
      </c>
      <c r="V3" s="78"/>
      <c r="W3" s="74">
        <f>S3*M3</f>
        <v>0</v>
      </c>
      <c r="X3" s="74">
        <f t="shared" ref="X3:X7" si="0">T3*M3</f>
        <v>0</v>
      </c>
      <c r="Y3" s="74">
        <f t="shared" ref="Y3:Y7" si="1">U3*M3</f>
        <v>0</v>
      </c>
      <c r="Z3" s="74">
        <f t="shared" ref="Z3:Z7" si="2">V3*M3</f>
        <v>0</v>
      </c>
      <c r="AC3" s="74">
        <f t="shared" ref="AC3:AC7" si="3">K3*M3</f>
        <v>0</v>
      </c>
      <c r="AD3" s="80"/>
    </row>
    <row r="4" spans="2:30" ht="30" customHeight="1">
      <c r="B4" s="313" t="s">
        <v>118</v>
      </c>
      <c r="C4" s="81"/>
      <c r="D4" s="770"/>
      <c r="E4" s="773"/>
      <c r="F4" s="766"/>
      <c r="G4" s="598" t="s">
        <v>567</v>
      </c>
      <c r="H4" s="476" t="s">
        <v>153</v>
      </c>
      <c r="I4" s="324"/>
      <c r="J4" s="329">
        <f>Painokertoimet!M3</f>
        <v>3.1235416666666662</v>
      </c>
      <c r="K4" s="478">
        <f>I4*25</f>
        <v>0</v>
      </c>
      <c r="L4" s="329">
        <f>I4*25*J4</f>
        <v>0</v>
      </c>
      <c r="M4" s="585">
        <v>0.1</v>
      </c>
      <c r="N4" s="76"/>
      <c r="O4" s="95" t="s">
        <v>595</v>
      </c>
      <c r="P4" s="76"/>
      <c r="Q4" s="76"/>
      <c r="R4" s="76"/>
      <c r="S4" s="77"/>
      <c r="T4" s="78"/>
      <c r="U4" s="79">
        <f>K4</f>
        <v>0</v>
      </c>
      <c r="V4" s="78"/>
      <c r="W4" s="74">
        <f t="shared" ref="W4:W7" si="4">S4*M4</f>
        <v>0</v>
      </c>
      <c r="X4" s="74">
        <f t="shared" si="0"/>
        <v>0</v>
      </c>
      <c r="Y4" s="74">
        <f t="shared" si="1"/>
        <v>0</v>
      </c>
      <c r="Z4" s="74">
        <f t="shared" si="2"/>
        <v>0</v>
      </c>
      <c r="AC4" s="74">
        <f>K4*M4</f>
        <v>0</v>
      </c>
      <c r="AD4" s="80"/>
    </row>
    <row r="5" spans="2:30" ht="30" customHeight="1">
      <c r="B5" s="312">
        <f ca="1">Rajaukset!J9</f>
        <v>1.2</v>
      </c>
      <c r="C5" s="82"/>
      <c r="D5" s="770"/>
      <c r="E5" s="773"/>
      <c r="F5" s="766"/>
      <c r="G5" s="598" t="s">
        <v>568</v>
      </c>
      <c r="H5" s="476" t="s">
        <v>153</v>
      </c>
      <c r="I5" s="324"/>
      <c r="J5" s="329">
        <f>Painokertoimet!M4</f>
        <v>3.0322916666666666</v>
      </c>
      <c r="K5" s="478">
        <f>I5*15</f>
        <v>0</v>
      </c>
      <c r="L5" s="329">
        <f>I5*15*J5</f>
        <v>0</v>
      </c>
      <c r="M5" s="585">
        <v>0.1</v>
      </c>
      <c r="N5" s="76"/>
      <c r="O5" s="95" t="s">
        <v>564</v>
      </c>
      <c r="P5" s="76"/>
      <c r="Q5" s="76"/>
      <c r="R5" s="76"/>
      <c r="S5" s="77"/>
      <c r="T5" s="78"/>
      <c r="U5" s="79">
        <f>K5</f>
        <v>0</v>
      </c>
      <c r="V5" s="78"/>
      <c r="W5" s="74">
        <f t="shared" si="4"/>
        <v>0</v>
      </c>
      <c r="X5" s="74">
        <f t="shared" si="0"/>
        <v>0</v>
      </c>
      <c r="Y5" s="74">
        <f t="shared" si="1"/>
        <v>0</v>
      </c>
      <c r="Z5" s="74">
        <f t="shared" si="2"/>
        <v>0</v>
      </c>
      <c r="AC5" s="74">
        <f t="shared" si="3"/>
        <v>0</v>
      </c>
      <c r="AD5" s="80"/>
    </row>
    <row r="6" spans="2:30" ht="30" customHeight="1">
      <c r="B6" s="313" t="s">
        <v>147</v>
      </c>
      <c r="C6" s="82"/>
      <c r="D6" s="770"/>
      <c r="E6" s="773"/>
      <c r="F6" s="766"/>
      <c r="G6" s="598" t="s">
        <v>569</v>
      </c>
      <c r="H6" s="476" t="s">
        <v>153</v>
      </c>
      <c r="I6" s="324"/>
      <c r="J6" s="329">
        <f>Painokertoimet!M5</f>
        <v>2.8125</v>
      </c>
      <c r="K6" s="478">
        <f>I6*15</f>
        <v>0</v>
      </c>
      <c r="L6" s="329">
        <f>I6*15*J6</f>
        <v>0</v>
      </c>
      <c r="M6" s="585">
        <v>0.1</v>
      </c>
      <c r="N6" s="76"/>
      <c r="O6" s="95" t="s">
        <v>561</v>
      </c>
      <c r="P6" s="76"/>
      <c r="Q6" s="76"/>
      <c r="R6" s="76"/>
      <c r="S6" s="77"/>
      <c r="T6" s="78"/>
      <c r="U6" s="79">
        <f t="shared" ref="U6:U7" si="5">K6</f>
        <v>0</v>
      </c>
      <c r="V6" s="78"/>
      <c r="W6" s="74">
        <f t="shared" si="4"/>
        <v>0</v>
      </c>
      <c r="X6" s="74">
        <f t="shared" si="0"/>
        <v>0</v>
      </c>
      <c r="Y6" s="74">
        <f t="shared" si="1"/>
        <v>0</v>
      </c>
      <c r="Z6" s="74">
        <f t="shared" si="2"/>
        <v>0</v>
      </c>
      <c r="AC6" s="74">
        <f t="shared" si="3"/>
        <v>0</v>
      </c>
      <c r="AD6" s="80"/>
    </row>
    <row r="7" spans="2:30" ht="30" customHeight="1">
      <c r="B7" s="312">
        <f>Rajaukset!J11</f>
        <v>0</v>
      </c>
      <c r="C7" s="82"/>
      <c r="D7" s="770"/>
      <c r="E7" s="773"/>
      <c r="F7" s="782" t="s">
        <v>473</v>
      </c>
      <c r="G7" s="783"/>
      <c r="H7" s="476" t="s">
        <v>153</v>
      </c>
      <c r="I7" s="324"/>
      <c r="J7" s="329">
        <f>Painokertoimet!M6</f>
        <v>2.3583333333333329</v>
      </c>
      <c r="K7" s="478">
        <f>I7*15</f>
        <v>0</v>
      </c>
      <c r="L7" s="329">
        <f>I7*3*J7</f>
        <v>0</v>
      </c>
      <c r="M7" s="585">
        <v>0.1</v>
      </c>
      <c r="N7" s="76"/>
      <c r="O7" s="76"/>
      <c r="P7" s="76"/>
      <c r="Q7" s="76"/>
      <c r="R7" s="76"/>
      <c r="S7" s="77"/>
      <c r="T7" s="78"/>
      <c r="U7" s="79">
        <f t="shared" si="5"/>
        <v>0</v>
      </c>
      <c r="V7" s="78"/>
      <c r="W7" s="74">
        <f t="shared" si="4"/>
        <v>0</v>
      </c>
      <c r="X7" s="74">
        <f t="shared" si="0"/>
        <v>0</v>
      </c>
      <c r="Y7" s="74">
        <f t="shared" si="1"/>
        <v>0</v>
      </c>
      <c r="Z7" s="74">
        <f t="shared" si="2"/>
        <v>0</v>
      </c>
      <c r="AC7" s="74">
        <f t="shared" si="3"/>
        <v>0</v>
      </c>
      <c r="AD7" s="80"/>
    </row>
    <row r="8" spans="2:30" ht="30" customHeight="1">
      <c r="B8" s="313" t="s">
        <v>149</v>
      </c>
      <c r="C8" s="81"/>
      <c r="D8" s="770"/>
      <c r="E8" s="773"/>
      <c r="F8" s="599" t="s">
        <v>272</v>
      </c>
      <c r="G8" s="600"/>
      <c r="H8" s="322" t="s">
        <v>152</v>
      </c>
      <c r="I8" s="324"/>
      <c r="J8" s="329">
        <f>Painokertoimet!M7</f>
        <v>2.2069444444444444</v>
      </c>
      <c r="K8" s="335">
        <f>I8</f>
        <v>0</v>
      </c>
      <c r="L8" s="327">
        <f>I8*J8</f>
        <v>0</v>
      </c>
      <c r="M8" s="331">
        <v>0.1</v>
      </c>
      <c r="N8" s="76"/>
      <c r="O8" s="76"/>
      <c r="P8" s="76"/>
      <c r="Q8" s="76"/>
      <c r="R8" s="76"/>
      <c r="S8" s="83"/>
      <c r="T8" s="79">
        <f>K8</f>
        <v>0</v>
      </c>
      <c r="U8" s="78"/>
      <c r="V8" s="78"/>
      <c r="W8" s="74">
        <f t="shared" ref="W8:W22" si="6">S8*M8</f>
        <v>0</v>
      </c>
      <c r="X8" s="74">
        <f t="shared" ref="X8:X22" si="7">T8*M8</f>
        <v>0</v>
      </c>
      <c r="Y8" s="74">
        <f t="shared" ref="Y8:Y22" si="8">U8*M8</f>
        <v>0</v>
      </c>
      <c r="Z8" s="74">
        <f t="shared" ref="Z8:Z22" si="9">V8*M8</f>
        <v>0</v>
      </c>
      <c r="AC8" s="74">
        <f>K8*M8</f>
        <v>0</v>
      </c>
      <c r="AD8" s="80"/>
    </row>
    <row r="9" spans="2:30" ht="30" customHeight="1" thickBot="1">
      <c r="B9" s="594">
        <f>SUM(L3:L44)</f>
        <v>0</v>
      </c>
      <c r="C9" s="82"/>
      <c r="D9" s="771"/>
      <c r="E9" s="774"/>
      <c r="F9" s="601" t="s">
        <v>273</v>
      </c>
      <c r="G9" s="598"/>
      <c r="H9" s="322" t="s">
        <v>152</v>
      </c>
      <c r="I9" s="324"/>
      <c r="J9" s="327">
        <f>Painokertoimet!M8</f>
        <v>1.489236111111111</v>
      </c>
      <c r="K9" s="335">
        <f>I9</f>
        <v>0</v>
      </c>
      <c r="L9" s="327">
        <f>I9*J9</f>
        <v>0</v>
      </c>
      <c r="M9" s="331">
        <v>0.1</v>
      </c>
      <c r="N9" s="76"/>
      <c r="O9" s="76"/>
      <c r="P9" s="76"/>
      <c r="Q9" s="76"/>
      <c r="R9" s="76"/>
      <c r="S9" s="83"/>
      <c r="T9" s="79">
        <f>K9</f>
        <v>0</v>
      </c>
      <c r="U9" s="78"/>
      <c r="V9" s="78"/>
      <c r="W9" s="74">
        <f t="shared" si="6"/>
        <v>0</v>
      </c>
      <c r="X9" s="74">
        <f t="shared" si="7"/>
        <v>0</v>
      </c>
      <c r="Y9" s="74">
        <f t="shared" si="8"/>
        <v>0</v>
      </c>
      <c r="Z9" s="74">
        <f t="shared" si="9"/>
        <v>0</v>
      </c>
      <c r="AC9" s="74">
        <f>K9*M9</f>
        <v>0</v>
      </c>
      <c r="AD9" s="80"/>
    </row>
    <row r="10" spans="2:30" ht="30" customHeight="1" thickBot="1">
      <c r="D10" s="789" t="s">
        <v>251</v>
      </c>
      <c r="E10" s="790"/>
      <c r="F10" s="602" t="s">
        <v>164</v>
      </c>
      <c r="G10" s="603"/>
      <c r="H10" s="323" t="s">
        <v>152</v>
      </c>
      <c r="I10" s="325"/>
      <c r="J10" s="328">
        <f>Painokertoimet!M9</f>
        <v>1.8645833333333333</v>
      </c>
      <c r="K10" s="336">
        <f>I10</f>
        <v>0</v>
      </c>
      <c r="L10" s="328">
        <f t="shared" ref="L10:L30" si="10">I10*J10</f>
        <v>0</v>
      </c>
      <c r="M10" s="332">
        <v>0.7</v>
      </c>
      <c r="N10" s="76"/>
      <c r="O10" s="76"/>
      <c r="P10" s="76"/>
      <c r="Q10" s="76"/>
      <c r="R10" s="76"/>
      <c r="S10" s="83"/>
      <c r="T10" s="79">
        <f>K10</f>
        <v>0</v>
      </c>
      <c r="U10" s="78"/>
      <c r="V10" s="78"/>
      <c r="W10" s="74">
        <f t="shared" si="6"/>
        <v>0</v>
      </c>
      <c r="X10" s="74">
        <f t="shared" si="7"/>
        <v>0</v>
      </c>
      <c r="Y10" s="74">
        <f t="shared" si="8"/>
        <v>0</v>
      </c>
      <c r="Z10" s="74">
        <f t="shared" si="9"/>
        <v>0</v>
      </c>
      <c r="AC10" s="74">
        <f t="shared" ref="AC10:AC19" si="11">K10*M10</f>
        <v>0</v>
      </c>
      <c r="AD10" s="80"/>
    </row>
    <row r="11" spans="2:30" ht="30" customHeight="1">
      <c r="B11" s="787" t="s">
        <v>495</v>
      </c>
      <c r="D11" s="769" t="s">
        <v>24</v>
      </c>
      <c r="E11" s="772" t="s">
        <v>252</v>
      </c>
      <c r="F11" s="784" t="s">
        <v>465</v>
      </c>
      <c r="G11" s="604" t="s">
        <v>467</v>
      </c>
      <c r="H11" s="476" t="s">
        <v>153</v>
      </c>
      <c r="I11" s="324"/>
      <c r="J11" s="329">
        <f>Painokertoimet!M10</f>
        <v>2.7770138888888889</v>
      </c>
      <c r="K11" s="478">
        <f>I11*25</f>
        <v>0</v>
      </c>
      <c r="L11" s="329">
        <f>I11*25*J11</f>
        <v>0</v>
      </c>
      <c r="M11" s="585">
        <v>0.1</v>
      </c>
      <c r="N11" s="76"/>
      <c r="O11" s="76"/>
      <c r="P11" s="76"/>
      <c r="Q11" s="76"/>
      <c r="R11" s="76"/>
      <c r="S11" s="77"/>
      <c r="T11" s="79"/>
      <c r="U11" s="79">
        <f>K11</f>
        <v>0</v>
      </c>
      <c r="V11" s="78"/>
      <c r="W11" s="74">
        <f t="shared" si="6"/>
        <v>0</v>
      </c>
      <c r="X11" s="74">
        <f t="shared" si="7"/>
        <v>0</v>
      </c>
      <c r="Y11" s="74">
        <f t="shared" si="8"/>
        <v>0</v>
      </c>
      <c r="Z11" s="74">
        <f t="shared" si="9"/>
        <v>0</v>
      </c>
      <c r="AC11" s="74">
        <f t="shared" si="11"/>
        <v>0</v>
      </c>
      <c r="AD11" s="80">
        <f t="shared" ref="AD11:AD19" si="12">K11*M11</f>
        <v>0</v>
      </c>
    </row>
    <row r="12" spans="2:30" ht="30" customHeight="1">
      <c r="B12" s="788"/>
      <c r="D12" s="770"/>
      <c r="E12" s="773"/>
      <c r="F12" s="785"/>
      <c r="G12" s="605" t="s">
        <v>468</v>
      </c>
      <c r="H12" s="476" t="s">
        <v>153</v>
      </c>
      <c r="I12" s="324"/>
      <c r="J12" s="329">
        <f>Painokertoimet!M11</f>
        <v>2.4331944444444447</v>
      </c>
      <c r="K12" s="478">
        <f>I12*25</f>
        <v>0</v>
      </c>
      <c r="L12" s="329">
        <f>I12*25*J12</f>
        <v>0</v>
      </c>
      <c r="M12" s="585">
        <v>0.1</v>
      </c>
      <c r="N12" s="76"/>
      <c r="O12" s="76"/>
      <c r="P12" s="76"/>
      <c r="Q12" s="76"/>
      <c r="R12" s="76"/>
      <c r="S12" s="77"/>
      <c r="T12" s="79"/>
      <c r="U12" s="79">
        <f t="shared" ref="U12:U13" si="13">K12</f>
        <v>0</v>
      </c>
      <c r="V12" s="78"/>
      <c r="W12" s="74">
        <f t="shared" si="6"/>
        <v>0</v>
      </c>
      <c r="X12" s="74">
        <f t="shared" si="7"/>
        <v>0</v>
      </c>
      <c r="Y12" s="74">
        <f t="shared" si="8"/>
        <v>0</v>
      </c>
      <c r="Z12" s="74">
        <f t="shared" si="9"/>
        <v>0</v>
      </c>
      <c r="AC12" s="74">
        <f t="shared" si="11"/>
        <v>0</v>
      </c>
      <c r="AD12" s="80">
        <f t="shared" si="12"/>
        <v>0</v>
      </c>
    </row>
    <row r="13" spans="2:30" ht="30" customHeight="1">
      <c r="B13" s="590" t="e">
        <f>B17*B15*B7*Rajaukset!H16/1000</f>
        <v>#DIV/0!</v>
      </c>
      <c r="D13" s="770"/>
      <c r="E13" s="773"/>
      <c r="F13" s="785"/>
      <c r="G13" s="605" t="s">
        <v>469</v>
      </c>
      <c r="H13" s="476" t="s">
        <v>153</v>
      </c>
      <c r="I13" s="324"/>
      <c r="J13" s="329">
        <f>Painokertoimet!M12</f>
        <v>2.3419444444444446</v>
      </c>
      <c r="K13" s="478">
        <f>I13*15</f>
        <v>0</v>
      </c>
      <c r="L13" s="329">
        <f>I13*15*J13</f>
        <v>0</v>
      </c>
      <c r="M13" s="585">
        <v>0.1</v>
      </c>
      <c r="N13" s="76"/>
      <c r="O13" s="76"/>
      <c r="P13" s="76"/>
      <c r="Q13" s="76"/>
      <c r="R13" s="76"/>
      <c r="S13" s="77"/>
      <c r="T13" s="79"/>
      <c r="U13" s="79">
        <f t="shared" si="13"/>
        <v>0</v>
      </c>
      <c r="V13" s="78"/>
      <c r="W13" s="74">
        <f t="shared" si="6"/>
        <v>0</v>
      </c>
      <c r="X13" s="74">
        <f t="shared" si="7"/>
        <v>0</v>
      </c>
      <c r="Y13" s="74">
        <f t="shared" si="8"/>
        <v>0</v>
      </c>
      <c r="Z13" s="74">
        <f t="shared" si="9"/>
        <v>0</v>
      </c>
      <c r="AC13" s="74">
        <f t="shared" si="11"/>
        <v>0</v>
      </c>
      <c r="AD13" s="80">
        <f t="shared" si="12"/>
        <v>0</v>
      </c>
    </row>
    <row r="14" spans="2:30" ht="30" customHeight="1" thickBot="1">
      <c r="B14" s="315" t="s">
        <v>173</v>
      </c>
      <c r="D14" s="770"/>
      <c r="E14" s="773"/>
      <c r="F14" s="785"/>
      <c r="G14" s="605" t="s">
        <v>471</v>
      </c>
      <c r="H14" s="476" t="s">
        <v>153</v>
      </c>
      <c r="I14" s="324"/>
      <c r="J14" s="329">
        <f>Painokertoimet!M13</f>
        <v>2.184166666666667</v>
      </c>
      <c r="K14" s="478">
        <f>I14*15</f>
        <v>0</v>
      </c>
      <c r="L14" s="329">
        <f>I14*15*J14</f>
        <v>0</v>
      </c>
      <c r="M14" s="585">
        <v>0.1</v>
      </c>
      <c r="N14" s="76"/>
      <c r="O14" s="76"/>
      <c r="P14" s="76"/>
      <c r="Q14" s="76"/>
      <c r="R14" s="76"/>
      <c r="S14" s="77"/>
      <c r="T14" s="79"/>
      <c r="U14" s="79">
        <f>K14</f>
        <v>0</v>
      </c>
      <c r="V14" s="78"/>
      <c r="W14" s="74">
        <f t="shared" si="6"/>
        <v>0</v>
      </c>
      <c r="X14" s="74">
        <f t="shared" si="7"/>
        <v>0</v>
      </c>
      <c r="Y14" s="74">
        <f t="shared" si="8"/>
        <v>0</v>
      </c>
      <c r="Z14" s="74">
        <f t="shared" si="9"/>
        <v>0</v>
      </c>
      <c r="AC14" s="74">
        <f t="shared" si="11"/>
        <v>0</v>
      </c>
      <c r="AD14" s="80">
        <f t="shared" si="12"/>
        <v>0</v>
      </c>
    </row>
    <row r="15" spans="2:30" ht="30" customHeight="1">
      <c r="B15" s="316">
        <f>10</f>
        <v>10</v>
      </c>
      <c r="C15" s="18"/>
      <c r="D15" s="770"/>
      <c r="E15" s="775"/>
      <c r="F15" s="767" t="s">
        <v>145</v>
      </c>
      <c r="G15" s="767"/>
      <c r="H15" s="322" t="s">
        <v>153</v>
      </c>
      <c r="I15" s="324"/>
      <c r="J15" s="327">
        <f>Painokertoimet!M14</f>
        <v>1.7017361111111107</v>
      </c>
      <c r="K15" s="335">
        <f>I15*3</f>
        <v>0</v>
      </c>
      <c r="L15" s="327">
        <f>I15*3*J15</f>
        <v>0</v>
      </c>
      <c r="M15" s="585">
        <v>0.1</v>
      </c>
      <c r="N15" s="76"/>
      <c r="O15" s="76"/>
      <c r="P15" s="76"/>
      <c r="Q15" s="76"/>
      <c r="R15" s="76"/>
      <c r="S15" s="84"/>
      <c r="T15" s="79"/>
      <c r="U15" s="79">
        <f>K15</f>
        <v>0</v>
      </c>
      <c r="V15" s="78"/>
      <c r="W15" s="74">
        <f t="shared" si="6"/>
        <v>0</v>
      </c>
      <c r="X15" s="74">
        <f t="shared" si="7"/>
        <v>0</v>
      </c>
      <c r="Y15" s="74">
        <f t="shared" si="8"/>
        <v>0</v>
      </c>
      <c r="Z15" s="74">
        <f t="shared" si="9"/>
        <v>0</v>
      </c>
      <c r="AC15" s="74">
        <f t="shared" si="11"/>
        <v>0</v>
      </c>
      <c r="AD15" s="80">
        <f t="shared" si="12"/>
        <v>0</v>
      </c>
    </row>
    <row r="16" spans="2:30" ht="30" customHeight="1">
      <c r="B16" s="315" t="s">
        <v>182</v>
      </c>
      <c r="D16" s="770"/>
      <c r="E16" s="776"/>
      <c r="F16" s="767" t="s">
        <v>154</v>
      </c>
      <c r="G16" s="767"/>
      <c r="H16" s="322" t="s">
        <v>152</v>
      </c>
      <c r="I16" s="324"/>
      <c r="J16" s="327">
        <f>Painokertoimet!M15</f>
        <v>1.4180555555555554</v>
      </c>
      <c r="K16" s="335">
        <f>I16</f>
        <v>0</v>
      </c>
      <c r="L16" s="327">
        <f t="shared" si="10"/>
        <v>0</v>
      </c>
      <c r="M16" s="331">
        <v>0.1</v>
      </c>
      <c r="N16" s="76"/>
      <c r="O16" s="76"/>
      <c r="P16" s="76"/>
      <c r="Q16" s="76"/>
      <c r="R16" s="76"/>
      <c r="S16" s="83"/>
      <c r="T16" s="79">
        <f>K16</f>
        <v>0</v>
      </c>
      <c r="U16" s="78"/>
      <c r="V16" s="78"/>
      <c r="W16" s="74">
        <f t="shared" si="6"/>
        <v>0</v>
      </c>
      <c r="X16" s="74">
        <f t="shared" si="7"/>
        <v>0</v>
      </c>
      <c r="Y16" s="74">
        <f t="shared" si="8"/>
        <v>0</v>
      </c>
      <c r="Z16" s="74">
        <f t="shared" si="9"/>
        <v>0</v>
      </c>
      <c r="AC16" s="74">
        <f t="shared" si="11"/>
        <v>0</v>
      </c>
      <c r="AD16" s="80">
        <f t="shared" si="12"/>
        <v>0</v>
      </c>
    </row>
    <row r="17" spans="2:30" ht="30" customHeight="1">
      <c r="B17" s="317" t="e">
        <f>AA37</f>
        <v>#DIV/0!</v>
      </c>
      <c r="D17" s="770"/>
      <c r="E17" s="776"/>
      <c r="F17" s="767" t="s">
        <v>128</v>
      </c>
      <c r="G17" s="767"/>
      <c r="H17" s="322" t="s">
        <v>152</v>
      </c>
      <c r="I17" s="324"/>
      <c r="J17" s="327">
        <f>Painokertoimet!M16</f>
        <v>1.6315972222222221</v>
      </c>
      <c r="K17" s="335">
        <f t="shared" ref="K17:K21" si="14">I17</f>
        <v>0</v>
      </c>
      <c r="L17" s="327">
        <f t="shared" si="10"/>
        <v>0</v>
      </c>
      <c r="M17" s="331">
        <v>0.1</v>
      </c>
      <c r="N17" s="76"/>
      <c r="O17" s="76"/>
      <c r="P17" s="76"/>
      <c r="Q17" s="76"/>
      <c r="R17" s="76"/>
      <c r="S17" s="83"/>
      <c r="T17" s="79">
        <f>K17</f>
        <v>0</v>
      </c>
      <c r="U17" s="78"/>
      <c r="V17" s="78"/>
      <c r="W17" s="74">
        <f>S17*M17</f>
        <v>0</v>
      </c>
      <c r="X17" s="74">
        <f>T17*M17</f>
        <v>0</v>
      </c>
      <c r="Y17" s="74">
        <f t="shared" si="8"/>
        <v>0</v>
      </c>
      <c r="Z17" s="74">
        <f t="shared" si="9"/>
        <v>0</v>
      </c>
      <c r="AC17" s="74">
        <f t="shared" si="11"/>
        <v>0</v>
      </c>
      <c r="AD17" s="80">
        <f t="shared" si="12"/>
        <v>0</v>
      </c>
    </row>
    <row r="18" spans="2:30" ht="30" customHeight="1">
      <c r="D18" s="770"/>
      <c r="E18" s="776"/>
      <c r="F18" s="767" t="s">
        <v>129</v>
      </c>
      <c r="G18" s="767"/>
      <c r="H18" s="322" t="s">
        <v>152</v>
      </c>
      <c r="I18" s="324"/>
      <c r="J18" s="327">
        <f>Painokertoimet!M17</f>
        <v>1.7711805555555553</v>
      </c>
      <c r="K18" s="335">
        <f>I18</f>
        <v>0</v>
      </c>
      <c r="L18" s="327">
        <f t="shared" si="10"/>
        <v>0</v>
      </c>
      <c r="M18" s="331">
        <v>0.1</v>
      </c>
      <c r="N18" s="76"/>
      <c r="O18" s="76"/>
      <c r="P18" s="76"/>
      <c r="Q18" s="76"/>
      <c r="R18" s="76"/>
      <c r="S18" s="83"/>
      <c r="T18" s="79">
        <f>K18</f>
        <v>0</v>
      </c>
      <c r="U18" s="78"/>
      <c r="V18" s="78"/>
      <c r="W18" s="74">
        <f>S18*M18</f>
        <v>0</v>
      </c>
      <c r="X18" s="74">
        <f>T18*M18</f>
        <v>0</v>
      </c>
      <c r="Y18" s="74">
        <f t="shared" si="8"/>
        <v>0</v>
      </c>
      <c r="Z18" s="74">
        <f t="shared" si="9"/>
        <v>0</v>
      </c>
      <c r="AC18" s="74">
        <f t="shared" si="11"/>
        <v>0</v>
      </c>
      <c r="AD18" s="80">
        <f t="shared" si="12"/>
        <v>0</v>
      </c>
    </row>
    <row r="19" spans="2:30" ht="30" customHeight="1">
      <c r="B19" s="318" t="s">
        <v>245</v>
      </c>
      <c r="D19" s="770"/>
      <c r="E19" s="776"/>
      <c r="F19" s="767" t="s">
        <v>280</v>
      </c>
      <c r="G19" s="767"/>
      <c r="H19" s="322" t="s">
        <v>152</v>
      </c>
      <c r="I19" s="324"/>
      <c r="J19" s="327">
        <f>Painokertoimet!M18</f>
        <v>2.0093749999999999</v>
      </c>
      <c r="K19" s="335">
        <f t="shared" si="14"/>
        <v>0</v>
      </c>
      <c r="L19" s="327">
        <f t="shared" si="10"/>
        <v>0</v>
      </c>
      <c r="M19" s="331">
        <v>0.3</v>
      </c>
      <c r="N19" s="76"/>
      <c r="O19" s="76"/>
      <c r="P19" s="76"/>
      <c r="Q19" s="76"/>
      <c r="R19" s="76"/>
      <c r="S19" s="84">
        <f>K19</f>
        <v>0</v>
      </c>
      <c r="T19" s="79"/>
      <c r="U19" s="78"/>
      <c r="V19" s="78"/>
      <c r="W19" s="74">
        <f t="shared" si="6"/>
        <v>0</v>
      </c>
      <c r="X19" s="74">
        <f t="shared" si="7"/>
        <v>0</v>
      </c>
      <c r="Y19" s="74">
        <f t="shared" si="8"/>
        <v>0</v>
      </c>
      <c r="Z19" s="74">
        <f t="shared" si="9"/>
        <v>0</v>
      </c>
      <c r="AC19" s="74">
        <f t="shared" si="11"/>
        <v>0</v>
      </c>
      <c r="AD19" s="80">
        <f t="shared" si="12"/>
        <v>0</v>
      </c>
    </row>
    <row r="20" spans="2:30" ht="30" customHeight="1">
      <c r="B20" s="798" t="str">
        <f>Rajaukset!D52</f>
        <v/>
      </c>
      <c r="D20" s="770"/>
      <c r="E20" s="776"/>
      <c r="F20" s="786" t="s">
        <v>274</v>
      </c>
      <c r="G20" s="786"/>
      <c r="H20" s="322" t="s">
        <v>152</v>
      </c>
      <c r="I20" s="324"/>
      <c r="J20" s="327">
        <f>Painokertoimet!M19</f>
        <v>1.6204861111111106</v>
      </c>
      <c r="K20" s="335">
        <f>I20</f>
        <v>0</v>
      </c>
      <c r="L20" s="327">
        <f t="shared" ref="L20" si="15">I20*J20</f>
        <v>0</v>
      </c>
      <c r="M20" s="331">
        <v>0.1</v>
      </c>
      <c r="N20" s="76"/>
      <c r="O20" s="76"/>
      <c r="P20" s="76"/>
      <c r="Q20" s="76"/>
      <c r="R20" s="76"/>
      <c r="S20" s="83"/>
      <c r="T20" s="79">
        <f>K20</f>
        <v>0</v>
      </c>
      <c r="U20" s="78"/>
      <c r="V20" s="78"/>
      <c r="W20" s="74">
        <f t="shared" si="6"/>
        <v>0</v>
      </c>
      <c r="X20" s="74">
        <f t="shared" si="7"/>
        <v>0</v>
      </c>
      <c r="Y20" s="74">
        <f t="shared" si="8"/>
        <v>0</v>
      </c>
      <c r="Z20" s="74">
        <f t="shared" si="9"/>
        <v>0</v>
      </c>
      <c r="AC20" s="74">
        <f t="shared" ref="AC20" si="16">K20*M20</f>
        <v>0</v>
      </c>
      <c r="AD20" s="80">
        <f t="shared" ref="AD20" si="17">K20*M20</f>
        <v>0</v>
      </c>
    </row>
    <row r="21" spans="2:30" ht="30" customHeight="1" thickBot="1">
      <c r="B21" s="799"/>
      <c r="D21" s="771"/>
      <c r="E21" s="777"/>
      <c r="F21" s="767" t="s">
        <v>130</v>
      </c>
      <c r="G21" s="767"/>
      <c r="H21" s="322" t="s">
        <v>152</v>
      </c>
      <c r="I21" s="324"/>
      <c r="J21" s="327">
        <f>Painokertoimet!M20</f>
        <v>1.101736111111111</v>
      </c>
      <c r="K21" s="335">
        <f t="shared" si="14"/>
        <v>0</v>
      </c>
      <c r="L21" s="327">
        <f t="shared" si="10"/>
        <v>0</v>
      </c>
      <c r="M21" s="331">
        <v>0.1</v>
      </c>
      <c r="N21" s="76"/>
      <c r="O21" s="76"/>
      <c r="P21" s="76"/>
      <c r="Q21" s="76"/>
      <c r="R21" s="76"/>
      <c r="S21" s="83"/>
      <c r="T21" s="79">
        <f>K21</f>
        <v>0</v>
      </c>
      <c r="U21" s="78"/>
      <c r="V21" s="78"/>
      <c r="W21" s="74">
        <f t="shared" si="6"/>
        <v>0</v>
      </c>
      <c r="X21" s="74">
        <f t="shared" si="7"/>
        <v>0</v>
      </c>
      <c r="Y21" s="74">
        <f t="shared" si="8"/>
        <v>0</v>
      </c>
      <c r="Z21" s="74">
        <f t="shared" si="9"/>
        <v>0</v>
      </c>
      <c r="AC21" s="74">
        <f>K21*M21</f>
        <v>0</v>
      </c>
      <c r="AD21" s="80">
        <f>K21*M21</f>
        <v>0</v>
      </c>
    </row>
    <row r="22" spans="2:30" ht="30" customHeight="1" thickBot="1">
      <c r="B22" s="799"/>
      <c r="D22" s="793" t="s">
        <v>251</v>
      </c>
      <c r="E22" s="794"/>
      <c r="F22" s="768" t="s">
        <v>146</v>
      </c>
      <c r="G22" s="768"/>
      <c r="H22" s="322" t="s">
        <v>153</v>
      </c>
      <c r="I22" s="324"/>
      <c r="J22" s="329">
        <f>Painokertoimet!M21</f>
        <v>1.5767361111111109</v>
      </c>
      <c r="K22" s="335">
        <f>I22*2</f>
        <v>0</v>
      </c>
      <c r="L22" s="327">
        <f>I22*2*J22</f>
        <v>0</v>
      </c>
      <c r="M22" s="331">
        <v>0.1</v>
      </c>
      <c r="N22" s="76"/>
      <c r="O22" s="76"/>
      <c r="P22" s="76"/>
      <c r="Q22" s="76"/>
      <c r="R22" s="76"/>
      <c r="S22" s="84">
        <f>K22</f>
        <v>0</v>
      </c>
      <c r="T22" s="79"/>
      <c r="U22" s="78"/>
      <c r="V22" s="78"/>
      <c r="W22" s="74">
        <f t="shared" si="6"/>
        <v>0</v>
      </c>
      <c r="X22" s="74">
        <f t="shared" si="7"/>
        <v>0</v>
      </c>
      <c r="Y22" s="74">
        <f t="shared" si="8"/>
        <v>0</v>
      </c>
      <c r="Z22" s="74">
        <f t="shared" si="9"/>
        <v>0</v>
      </c>
      <c r="AC22" s="74">
        <f>K22*M22</f>
        <v>0</v>
      </c>
      <c r="AD22" s="80">
        <f>K22*M22</f>
        <v>0</v>
      </c>
    </row>
    <row r="23" spans="2:30" ht="30" customHeight="1" thickBot="1">
      <c r="B23" s="799"/>
      <c r="D23" s="797" t="s">
        <v>276</v>
      </c>
      <c r="E23" s="606" t="s">
        <v>252</v>
      </c>
      <c r="F23" s="607" t="s">
        <v>360</v>
      </c>
      <c r="G23" s="608"/>
      <c r="H23" s="337" t="s">
        <v>152</v>
      </c>
      <c r="I23" s="338"/>
      <c r="J23" s="339">
        <f>Painokertoimet!M22</f>
        <v>1.2489583333333332</v>
      </c>
      <c r="K23" s="340">
        <f>I23</f>
        <v>0</v>
      </c>
      <c r="L23" s="339">
        <f t="shared" ref="L23:L28" si="18">I23*J23</f>
        <v>0</v>
      </c>
      <c r="M23" s="341" t="s">
        <v>175</v>
      </c>
      <c r="N23" s="76"/>
      <c r="O23" s="76"/>
      <c r="P23" s="76"/>
      <c r="Q23" s="76"/>
      <c r="R23" s="76"/>
      <c r="S23" s="84"/>
      <c r="T23" s="79"/>
      <c r="U23" s="78"/>
      <c r="V23" s="78"/>
      <c r="AD23" s="80"/>
    </row>
    <row r="24" spans="2:30" ht="30" customHeight="1" thickBot="1">
      <c r="B24" s="799"/>
      <c r="D24" s="797"/>
      <c r="E24" s="606" t="s">
        <v>252</v>
      </c>
      <c r="F24" s="609" t="s">
        <v>618</v>
      </c>
      <c r="G24" s="610"/>
      <c r="H24" s="322" t="s">
        <v>152</v>
      </c>
      <c r="I24" s="324"/>
      <c r="J24" s="327">
        <f>Painokertoimet!M23</f>
        <v>2.0329861111111112</v>
      </c>
      <c r="K24" s="335">
        <f>I24</f>
        <v>0</v>
      </c>
      <c r="L24" s="327">
        <f t="shared" si="18"/>
        <v>0</v>
      </c>
      <c r="M24" s="331">
        <v>0.1</v>
      </c>
      <c r="N24" s="76"/>
      <c r="O24" s="76"/>
      <c r="P24" s="76"/>
      <c r="Q24" s="76"/>
      <c r="R24" s="76"/>
      <c r="S24" s="84">
        <f t="shared" ref="S24:S33" si="19">K24</f>
        <v>0</v>
      </c>
      <c r="U24" s="78"/>
      <c r="V24" s="78"/>
      <c r="W24" s="74">
        <f>S24*M24</f>
        <v>0</v>
      </c>
      <c r="X24" s="74">
        <f>T24*M24</f>
        <v>0</v>
      </c>
      <c r="Y24" s="74">
        <f t="shared" ref="Y24:Y33" si="20">U24*M24</f>
        <v>0</v>
      </c>
      <c r="Z24" s="74">
        <f t="shared" ref="Z24:Z33" si="21">V24*M24</f>
        <v>0</v>
      </c>
      <c r="AC24" s="74">
        <f t="shared" ref="AC24:AC33" si="22">K24*M24</f>
        <v>0</v>
      </c>
      <c r="AD24" s="80">
        <f t="shared" ref="AD24:AD33" si="23">K24*M24</f>
        <v>0</v>
      </c>
    </row>
    <row r="25" spans="2:30" ht="30" customHeight="1" thickBot="1">
      <c r="B25" s="799"/>
      <c r="C25" s="85"/>
      <c r="D25" s="797"/>
      <c r="E25" s="606" t="s">
        <v>252</v>
      </c>
      <c r="F25" s="609" t="s">
        <v>617</v>
      </c>
      <c r="G25" s="610"/>
      <c r="H25" s="322" t="s">
        <v>152</v>
      </c>
      <c r="I25" s="324"/>
      <c r="J25" s="329">
        <f>Painokertoimet!M24</f>
        <v>1.6722222222222221</v>
      </c>
      <c r="K25" s="335">
        <f>I25</f>
        <v>0</v>
      </c>
      <c r="L25" s="327">
        <f t="shared" si="18"/>
        <v>0</v>
      </c>
      <c r="M25" s="331">
        <v>0.4</v>
      </c>
      <c r="N25" s="76"/>
      <c r="O25" s="76"/>
      <c r="P25" s="76"/>
      <c r="Q25" s="76"/>
      <c r="R25" s="76"/>
      <c r="S25" s="84">
        <f t="shared" si="19"/>
        <v>0</v>
      </c>
      <c r="U25" s="78"/>
      <c r="V25" s="78"/>
      <c r="W25" s="74">
        <f>S25*M25</f>
        <v>0</v>
      </c>
      <c r="X25" s="74">
        <f>T25*M25</f>
        <v>0</v>
      </c>
      <c r="Y25" s="74">
        <f t="shared" si="20"/>
        <v>0</v>
      </c>
      <c r="Z25" s="74">
        <f t="shared" si="21"/>
        <v>0</v>
      </c>
      <c r="AC25" s="74">
        <f t="shared" si="22"/>
        <v>0</v>
      </c>
      <c r="AD25" s="80">
        <f t="shared" si="23"/>
        <v>0</v>
      </c>
    </row>
    <row r="26" spans="2:30" ht="30" customHeight="1" thickBot="1">
      <c r="B26" s="799"/>
      <c r="C26" s="85"/>
      <c r="D26" s="611" t="s">
        <v>251</v>
      </c>
      <c r="E26" s="606" t="s">
        <v>252</v>
      </c>
      <c r="F26" s="612" t="s">
        <v>363</v>
      </c>
      <c r="G26" s="613"/>
      <c r="H26" s="323" t="s">
        <v>152</v>
      </c>
      <c r="I26" s="325"/>
      <c r="J26" s="328">
        <f>Painokertoimet!M25</f>
        <v>1.3885416666666663</v>
      </c>
      <c r="K26" s="336">
        <f>I26</f>
        <v>0</v>
      </c>
      <c r="L26" s="328">
        <f t="shared" si="18"/>
        <v>0</v>
      </c>
      <c r="M26" s="342">
        <v>0.6</v>
      </c>
      <c r="N26" s="76"/>
      <c r="O26" s="76"/>
      <c r="P26" s="76"/>
      <c r="Q26" s="76"/>
      <c r="R26" s="76"/>
      <c r="S26" s="84">
        <f t="shared" si="19"/>
        <v>0</v>
      </c>
      <c r="T26" s="79"/>
      <c r="U26" s="78"/>
      <c r="V26" s="78"/>
      <c r="W26" s="74">
        <f>S26*M26</f>
        <v>0</v>
      </c>
      <c r="X26" s="74">
        <f t="shared" ref="X26:X31" si="24">T26*M26</f>
        <v>0</v>
      </c>
      <c r="Y26" s="74">
        <f t="shared" si="20"/>
        <v>0</v>
      </c>
      <c r="Z26" s="74">
        <f t="shared" si="21"/>
        <v>0</v>
      </c>
      <c r="AC26" s="74">
        <f t="shared" si="22"/>
        <v>0</v>
      </c>
      <c r="AD26" s="80">
        <f t="shared" si="23"/>
        <v>0</v>
      </c>
    </row>
    <row r="27" spans="2:30" ht="30" customHeight="1" thickBot="1">
      <c r="B27" s="799"/>
      <c r="C27" s="85"/>
      <c r="D27" s="795" t="s">
        <v>11</v>
      </c>
      <c r="E27" s="606" t="s">
        <v>252</v>
      </c>
      <c r="F27" s="614" t="s">
        <v>475</v>
      </c>
      <c r="G27" s="615"/>
      <c r="H27" s="322" t="s">
        <v>152</v>
      </c>
      <c r="I27" s="324"/>
      <c r="J27" s="327">
        <f>Painokertoimet!M26</f>
        <v>1.3155555555555556</v>
      </c>
      <c r="K27" s="335">
        <f>I27</f>
        <v>0</v>
      </c>
      <c r="L27" s="327">
        <f>I27*J27</f>
        <v>0</v>
      </c>
      <c r="M27" s="331">
        <v>0.3</v>
      </c>
      <c r="N27" s="76"/>
      <c r="O27" s="76"/>
      <c r="P27" s="76"/>
      <c r="Q27" s="76"/>
      <c r="R27" s="76"/>
      <c r="S27" s="245">
        <f t="shared" si="19"/>
        <v>0</v>
      </c>
      <c r="U27" s="78"/>
      <c r="V27" s="78"/>
      <c r="W27" s="74">
        <f t="shared" ref="W27:W28" si="25">S27*M27</f>
        <v>0</v>
      </c>
      <c r="X27" s="74">
        <f t="shared" si="24"/>
        <v>0</v>
      </c>
      <c r="Y27" s="74">
        <f>U27*M27</f>
        <v>0</v>
      </c>
      <c r="Z27" s="74">
        <f>V27*M27</f>
        <v>0</v>
      </c>
      <c r="AC27" s="74">
        <f>K27*M27</f>
        <v>0</v>
      </c>
      <c r="AD27" s="80">
        <f>K27*M27</f>
        <v>0</v>
      </c>
    </row>
    <row r="28" spans="2:30" ht="30" customHeight="1" thickBot="1">
      <c r="B28" s="799"/>
      <c r="D28" s="796"/>
      <c r="E28" s="606" t="s">
        <v>252</v>
      </c>
      <c r="F28" s="616" t="s">
        <v>474</v>
      </c>
      <c r="G28" s="617"/>
      <c r="H28" s="322" t="s">
        <v>152</v>
      </c>
      <c r="I28" s="324"/>
      <c r="J28" s="327">
        <f>Painokertoimet!M27</f>
        <v>0.92527777777777764</v>
      </c>
      <c r="K28" s="335">
        <f t="shared" ref="K28:K30" si="26">I28</f>
        <v>0</v>
      </c>
      <c r="L28" s="327">
        <f t="shared" si="18"/>
        <v>0</v>
      </c>
      <c r="M28" s="331">
        <v>0.5</v>
      </c>
      <c r="N28" s="76"/>
      <c r="O28" s="76"/>
      <c r="P28" s="76"/>
      <c r="Q28" s="76"/>
      <c r="R28" s="76"/>
      <c r="S28" s="245">
        <f t="shared" si="19"/>
        <v>0</v>
      </c>
      <c r="U28" s="78"/>
      <c r="V28" s="78"/>
      <c r="W28" s="74">
        <f t="shared" si="25"/>
        <v>0</v>
      </c>
      <c r="X28" s="74">
        <f t="shared" si="24"/>
        <v>0</v>
      </c>
      <c r="Y28" s="74">
        <f t="shared" si="20"/>
        <v>0</v>
      </c>
      <c r="Z28" s="74">
        <f t="shared" si="21"/>
        <v>0</v>
      </c>
      <c r="AC28" s="74">
        <f t="shared" si="22"/>
        <v>0</v>
      </c>
      <c r="AD28" s="80">
        <f t="shared" si="23"/>
        <v>0</v>
      </c>
    </row>
    <row r="29" spans="2:30" ht="30" customHeight="1" thickBot="1">
      <c r="B29" s="799"/>
      <c r="D29" s="789" t="s">
        <v>251</v>
      </c>
      <c r="E29" s="790"/>
      <c r="F29" s="778" t="s">
        <v>171</v>
      </c>
      <c r="G29" s="779"/>
      <c r="H29" s="322" t="s">
        <v>152</v>
      </c>
      <c r="I29" s="326">
        <f>IF((B7-I8-I9-I16-I17-I18-I19-I20-I21-I24-I25-I26-I27-I28-I30-I31-I32-I33-I34)&lt;0,"HUOM &lt; 0",(B7-I8-I9-I16-I17-I18-I19-I20-I21-I24-I25-I26-I27-I28-I30-I31-I32-I33-I34))</f>
        <v>0</v>
      </c>
      <c r="J29" s="330" t="s">
        <v>175</v>
      </c>
      <c r="K29" s="335">
        <f t="shared" si="26"/>
        <v>0</v>
      </c>
      <c r="L29" s="330" t="s">
        <v>175</v>
      </c>
      <c r="M29" s="331">
        <v>1</v>
      </c>
      <c r="N29" s="76"/>
      <c r="O29" s="76"/>
      <c r="P29" s="76"/>
      <c r="Q29" s="76"/>
      <c r="R29" s="76"/>
      <c r="S29" s="84">
        <f t="shared" si="19"/>
        <v>0</v>
      </c>
      <c r="T29" s="79"/>
      <c r="U29" s="78"/>
      <c r="V29" s="78"/>
      <c r="W29" s="74">
        <f t="shared" ref="W29:W33" si="27">S29*M29</f>
        <v>0</v>
      </c>
      <c r="X29" s="74">
        <f t="shared" si="24"/>
        <v>0</v>
      </c>
      <c r="Y29" s="74">
        <f t="shared" si="20"/>
        <v>0</v>
      </c>
      <c r="Z29" s="74">
        <f t="shared" si="21"/>
        <v>0</v>
      </c>
      <c r="AC29" s="74">
        <f t="shared" si="22"/>
        <v>0</v>
      </c>
      <c r="AD29" s="80">
        <f t="shared" si="23"/>
        <v>0</v>
      </c>
    </row>
    <row r="30" spans="2:30" ht="30" customHeight="1" thickBot="1">
      <c r="B30" s="799"/>
      <c r="D30" s="797" t="s">
        <v>8</v>
      </c>
      <c r="E30" s="606" t="s">
        <v>252</v>
      </c>
      <c r="F30" s="618" t="s">
        <v>559</v>
      </c>
      <c r="G30" s="608"/>
      <c r="H30" s="337" t="s">
        <v>152</v>
      </c>
      <c r="I30" s="338"/>
      <c r="J30" s="339">
        <f>Painokertoimet!M28</f>
        <v>2.78125</v>
      </c>
      <c r="K30" s="340">
        <f t="shared" si="26"/>
        <v>0</v>
      </c>
      <c r="L30" s="339">
        <f t="shared" si="10"/>
        <v>0</v>
      </c>
      <c r="M30" s="341">
        <v>0.1</v>
      </c>
      <c r="N30" s="76"/>
      <c r="O30" s="76"/>
      <c r="P30" s="76"/>
      <c r="Q30" s="76"/>
      <c r="R30" s="76"/>
      <c r="S30" s="84">
        <f t="shared" si="19"/>
        <v>0</v>
      </c>
      <c r="T30" s="79"/>
      <c r="U30" s="78"/>
      <c r="V30" s="78"/>
      <c r="W30" s="74">
        <f t="shared" si="27"/>
        <v>0</v>
      </c>
      <c r="X30" s="74">
        <f t="shared" si="24"/>
        <v>0</v>
      </c>
      <c r="Y30" s="74">
        <f t="shared" si="20"/>
        <v>0</v>
      </c>
      <c r="Z30" s="74">
        <f t="shared" si="21"/>
        <v>0</v>
      </c>
      <c r="AC30" s="74">
        <f t="shared" si="22"/>
        <v>0</v>
      </c>
      <c r="AD30" s="80">
        <f t="shared" si="23"/>
        <v>0</v>
      </c>
    </row>
    <row r="31" spans="2:30" ht="30" customHeight="1" thickBot="1">
      <c r="B31" s="800"/>
      <c r="D31" s="797"/>
      <c r="E31" s="606" t="s">
        <v>252</v>
      </c>
      <c r="F31" s="619" t="s">
        <v>565</v>
      </c>
      <c r="G31" s="610"/>
      <c r="H31" s="322" t="s">
        <v>152</v>
      </c>
      <c r="I31" s="324"/>
      <c r="J31" s="329">
        <f>Painokertoimet!M29</f>
        <v>2.2113888888888886</v>
      </c>
      <c r="K31" s="335">
        <f t="shared" ref="K31:K36" si="28">I31</f>
        <v>0</v>
      </c>
      <c r="L31" s="327">
        <f>I31*J31</f>
        <v>0</v>
      </c>
      <c r="M31" s="331">
        <v>0.1</v>
      </c>
      <c r="N31" s="76"/>
      <c r="O31" s="76"/>
      <c r="P31" s="76"/>
      <c r="Q31" s="76"/>
      <c r="R31" s="76"/>
      <c r="S31" s="84">
        <f t="shared" si="19"/>
        <v>0</v>
      </c>
      <c r="T31" s="79"/>
      <c r="U31" s="78"/>
      <c r="V31" s="78"/>
      <c r="W31" s="74">
        <f t="shared" si="27"/>
        <v>0</v>
      </c>
      <c r="X31" s="74">
        <f t="shared" si="24"/>
        <v>0</v>
      </c>
      <c r="Y31" s="74">
        <f t="shared" si="20"/>
        <v>0</v>
      </c>
      <c r="Z31" s="74">
        <f t="shared" si="21"/>
        <v>0</v>
      </c>
      <c r="AC31" s="74">
        <f t="shared" si="22"/>
        <v>0</v>
      </c>
      <c r="AD31" s="80">
        <f t="shared" si="23"/>
        <v>0</v>
      </c>
    </row>
    <row r="32" spans="2:30" ht="30" customHeight="1" thickBot="1">
      <c r="D32" s="797"/>
      <c r="E32" s="606" t="s">
        <v>252</v>
      </c>
      <c r="F32" s="780" t="s">
        <v>560</v>
      </c>
      <c r="G32" s="781"/>
      <c r="H32" s="322" t="s">
        <v>152</v>
      </c>
      <c r="I32" s="324"/>
      <c r="J32" s="327">
        <f>Painokertoimet!M30</f>
        <v>1.5399305555555554</v>
      </c>
      <c r="K32" s="335">
        <f t="shared" si="28"/>
        <v>0</v>
      </c>
      <c r="L32" s="327">
        <f>I32*J32</f>
        <v>0</v>
      </c>
      <c r="M32" s="331">
        <v>0.1</v>
      </c>
      <c r="N32" s="76"/>
      <c r="O32" s="76"/>
      <c r="P32" s="76"/>
      <c r="Q32" s="76"/>
      <c r="R32" s="76"/>
      <c r="S32" s="84">
        <f t="shared" si="19"/>
        <v>0</v>
      </c>
      <c r="T32" s="78"/>
      <c r="U32" s="78"/>
      <c r="W32" s="74">
        <f t="shared" si="27"/>
        <v>0</v>
      </c>
      <c r="X32" s="74">
        <f t="shared" ref="X32:X33" si="29">T32*M32</f>
        <v>0</v>
      </c>
      <c r="Y32" s="74">
        <f t="shared" si="20"/>
        <v>0</v>
      </c>
      <c r="Z32" s="74">
        <f t="shared" si="21"/>
        <v>0</v>
      </c>
      <c r="AC32" s="74">
        <f t="shared" si="22"/>
        <v>0</v>
      </c>
      <c r="AD32" s="80">
        <f t="shared" si="23"/>
        <v>0</v>
      </c>
    </row>
    <row r="33" spans="2:30" ht="30" customHeight="1" thickBot="1">
      <c r="B33" s="344" t="s">
        <v>162</v>
      </c>
      <c r="D33" s="797"/>
      <c r="E33" s="606" t="s">
        <v>252</v>
      </c>
      <c r="F33" s="619" t="s">
        <v>189</v>
      </c>
      <c r="G33" s="610"/>
      <c r="H33" s="322" t="s">
        <v>152</v>
      </c>
      <c r="I33" s="324"/>
      <c r="J33" s="327">
        <f>Painokertoimet!M31</f>
        <v>2.8413194444444443</v>
      </c>
      <c r="K33" s="335">
        <f t="shared" si="28"/>
        <v>0</v>
      </c>
      <c r="L33" s="327">
        <f>I33*J33</f>
        <v>0</v>
      </c>
      <c r="M33" s="331">
        <v>0.1</v>
      </c>
      <c r="N33" s="76"/>
      <c r="O33" s="86"/>
      <c r="P33" s="76"/>
      <c r="Q33" s="76"/>
      <c r="R33" s="76"/>
      <c r="S33" s="84">
        <f t="shared" si="19"/>
        <v>0</v>
      </c>
      <c r="T33" s="79"/>
      <c r="U33" s="78"/>
      <c r="V33" s="78"/>
      <c r="W33" s="74">
        <f t="shared" si="27"/>
        <v>0</v>
      </c>
      <c r="X33" s="74">
        <f t="shared" si="29"/>
        <v>0</v>
      </c>
      <c r="Y33" s="74">
        <f t="shared" si="20"/>
        <v>0</v>
      </c>
      <c r="Z33" s="74">
        <f t="shared" si="21"/>
        <v>0</v>
      </c>
      <c r="AC33" s="74">
        <f t="shared" si="22"/>
        <v>0</v>
      </c>
      <c r="AD33" s="80">
        <f t="shared" si="23"/>
        <v>0</v>
      </c>
    </row>
    <row r="34" spans="2:30" ht="30" customHeight="1" thickBot="1">
      <c r="B34" s="345" t="str">
        <f>IF(Rajaukset!D3&gt;0,Rajaukset!D3,"-")</f>
        <v>-</v>
      </c>
      <c r="D34" s="797"/>
      <c r="E34" s="606" t="s">
        <v>252</v>
      </c>
      <c r="F34" s="620" t="s">
        <v>257</v>
      </c>
      <c r="G34" s="621"/>
      <c r="H34" s="322" t="s">
        <v>152</v>
      </c>
      <c r="I34" s="324"/>
      <c r="J34" s="329">
        <f>Painokertoimet!M32</f>
        <v>2.4117361111111109</v>
      </c>
      <c r="K34" s="335">
        <f>I34</f>
        <v>0</v>
      </c>
      <c r="L34" s="327">
        <f>I34*J34</f>
        <v>0</v>
      </c>
      <c r="M34" s="331">
        <v>0.1</v>
      </c>
      <c r="N34" s="74"/>
      <c r="O34" s="74"/>
      <c r="Q34" s="88"/>
      <c r="S34" s="77"/>
      <c r="T34" s="78"/>
      <c r="U34" s="78"/>
      <c r="V34" s="79">
        <f>K34</f>
        <v>0</v>
      </c>
      <c r="W34" s="74">
        <f>S34*M34</f>
        <v>0</v>
      </c>
      <c r="X34" s="74">
        <f>T34*M34</f>
        <v>0</v>
      </c>
      <c r="Y34" s="74">
        <f>U34*M34</f>
        <v>0</v>
      </c>
      <c r="Z34" s="74">
        <f>V34*M34</f>
        <v>0</v>
      </c>
      <c r="AC34" s="74">
        <f>K34*M34</f>
        <v>0</v>
      </c>
      <c r="AD34" s="80">
        <f>K34*M34</f>
        <v>0</v>
      </c>
    </row>
    <row r="35" spans="2:30" ht="30" customHeight="1" thickBot="1">
      <c r="B35" s="346" t="s">
        <v>236</v>
      </c>
      <c r="D35" s="797"/>
      <c r="E35" s="606" t="s">
        <v>252</v>
      </c>
      <c r="F35" s="619" t="s">
        <v>440</v>
      </c>
      <c r="G35" s="622"/>
      <c r="H35" s="322" t="s">
        <v>332</v>
      </c>
      <c r="I35" s="324"/>
      <c r="J35" s="327">
        <f>Painokertoimet!M33</f>
        <v>1.6041666666666665</v>
      </c>
      <c r="K35" s="335">
        <f t="shared" si="28"/>
        <v>0</v>
      </c>
      <c r="L35" s="327">
        <f>I35*10*J35</f>
        <v>0</v>
      </c>
      <c r="M35" s="331" t="s">
        <v>175</v>
      </c>
      <c r="N35" s="74"/>
      <c r="Q35" s="88"/>
      <c r="S35" s="84"/>
      <c r="T35" s="79"/>
      <c r="U35" s="78"/>
      <c r="V35" s="78"/>
      <c r="AD35" s="80"/>
    </row>
    <row r="36" spans="2:30" ht="30" customHeight="1" thickBot="1">
      <c r="B36" s="347" t="str">
        <f>IF(Rajaukset!B3&gt;0,Rajaukset!B3,"-")</f>
        <v>-</v>
      </c>
      <c r="D36" s="611" t="s">
        <v>251</v>
      </c>
      <c r="E36" s="606" t="s">
        <v>252</v>
      </c>
      <c r="F36" s="623" t="s">
        <v>262</v>
      </c>
      <c r="G36" s="624"/>
      <c r="H36" s="323" t="s">
        <v>332</v>
      </c>
      <c r="I36" s="325"/>
      <c r="J36" s="328">
        <f>Painokertoimet!M34</f>
        <v>1.364236111111111</v>
      </c>
      <c r="K36" s="336">
        <f t="shared" si="28"/>
        <v>0</v>
      </c>
      <c r="L36" s="328" t="s">
        <v>175</v>
      </c>
      <c r="M36" s="342" t="s">
        <v>175</v>
      </c>
      <c r="N36" s="74"/>
      <c r="O36" s="43" t="s">
        <v>331</v>
      </c>
      <c r="Q36" s="88"/>
      <c r="S36" s="83"/>
      <c r="AA36" s="201" t="s">
        <v>170</v>
      </c>
      <c r="AD36" s="80"/>
    </row>
    <row r="37" spans="2:30" ht="30" customHeight="1">
      <c r="B37" s="346" t="s">
        <v>237</v>
      </c>
      <c r="D37" s="769" t="s">
        <v>18</v>
      </c>
      <c r="E37" s="775"/>
      <c r="F37" s="625" t="s">
        <v>348</v>
      </c>
      <c r="G37" s="626"/>
      <c r="H37" s="337" t="s">
        <v>152</v>
      </c>
      <c r="I37" s="338"/>
      <c r="J37" s="339">
        <f>Painokertoimet!M35</f>
        <v>0.66388888888888875</v>
      </c>
      <c r="K37" s="339">
        <f t="shared" ref="K37:K38" si="30">I37</f>
        <v>0</v>
      </c>
      <c r="L37" s="339">
        <f>I37*J37</f>
        <v>0</v>
      </c>
      <c r="M37" s="343" t="s">
        <v>243</v>
      </c>
      <c r="N37" s="74"/>
      <c r="P37" s="244"/>
      <c r="Q37" s="88"/>
      <c r="S37" s="196">
        <f>SUM(S3:S36)</f>
        <v>0</v>
      </c>
      <c r="T37" s="197">
        <f>SUM(T3:T36)</f>
        <v>0</v>
      </c>
      <c r="U37" s="197">
        <f>SUM(U3:U36)</f>
        <v>0</v>
      </c>
      <c r="V37" s="197">
        <f>SUM(V3:V36)</f>
        <v>0</v>
      </c>
      <c r="W37" s="198">
        <f>IFERROR(SUM(W3:W36)/S37,0)</f>
        <v>0</v>
      </c>
      <c r="X37" s="198">
        <f>IFERROR(((SUM(X3:X36))*((T37-U37-V37)/T37)/(T37-U37-V37)),0)</f>
        <v>0</v>
      </c>
      <c r="Y37" s="198">
        <f>IFERROR(SUM(Y3:Y36)/U37,0)</f>
        <v>0</v>
      </c>
      <c r="Z37" s="198">
        <f>IFERROR(SUM(Z3:Z36)/V37,0)</f>
        <v>0</v>
      </c>
      <c r="AA37" s="199" t="e">
        <f>(W37*S37+X37*T37+Y37*U37+Z37*V37)/SUM(S37:V37)</f>
        <v>#DIV/0!</v>
      </c>
      <c r="AB37" s="198"/>
      <c r="AC37" s="198" t="e">
        <f>SUM(AC3:AC36)/(SUM($K$3:$K$36)-$K$23-$K$35-$K$36)</f>
        <v>#DIV/0!</v>
      </c>
      <c r="AD37" s="200" t="e">
        <f>SUM(AD3:AD36)/(SUM($K$11:$K$36)-$K$23-$K$35-$K$36)</f>
        <v>#DIV/0!</v>
      </c>
    </row>
    <row r="38" spans="2:30" ht="30" customHeight="1">
      <c r="B38" s="347" t="str">
        <f>IF(Rajaukset!B6&gt;0,Rajaukset!B6,"-")</f>
        <v>-</v>
      </c>
      <c r="D38" s="770"/>
      <c r="E38" s="776"/>
      <c r="F38" s="627" t="s">
        <v>349</v>
      </c>
      <c r="G38" s="628"/>
      <c r="H38" s="322" t="s">
        <v>152</v>
      </c>
      <c r="I38" s="324"/>
      <c r="J38" s="327">
        <f>Painokertoimet!M36</f>
        <v>0.83263888888888871</v>
      </c>
      <c r="K38" s="327">
        <f t="shared" si="30"/>
        <v>0</v>
      </c>
      <c r="L38" s="327">
        <f>I38*J38</f>
        <v>0</v>
      </c>
      <c r="M38" s="333" t="s">
        <v>243</v>
      </c>
      <c r="N38" s="74"/>
      <c r="O38" s="95" t="str">
        <f>IF(ISBLANK(P38),"esim. kivetty pinta, jolta hulevedet johdetaan kivipuron kautta lampeen, jossa on ylivuoto veden vaihtumisen mahdollistamiseksi",P38)</f>
        <v>esim. kivetty pinta, jolta hulevedet johdetaan kivipuron kautta lampeen, jossa on ylivuoto veden vaihtumisen mahdollistamiseksi</v>
      </c>
      <c r="P38" s="96"/>
      <c r="Q38" s="88"/>
      <c r="S38" s="83"/>
      <c r="U38" s="89">
        <f>U37-U15</f>
        <v>0</v>
      </c>
      <c r="AD38" s="80"/>
    </row>
    <row r="39" spans="2:30" ht="30" customHeight="1">
      <c r="B39" s="348" t="s">
        <v>165</v>
      </c>
      <c r="D39" s="770"/>
      <c r="E39" s="776"/>
      <c r="F39" s="627" t="s">
        <v>156</v>
      </c>
      <c r="G39" s="629"/>
      <c r="H39" s="322" t="s">
        <v>153</v>
      </c>
      <c r="I39" s="324"/>
      <c r="J39" s="327">
        <f>Painokertoimet!M37</f>
        <v>0.89548611111111109</v>
      </c>
      <c r="K39" s="327">
        <f>I39*25</f>
        <v>0</v>
      </c>
      <c r="L39" s="327">
        <f>I39*25*J39</f>
        <v>0</v>
      </c>
      <c r="M39" s="333" t="s">
        <v>243</v>
      </c>
      <c r="N39" s="74"/>
      <c r="O39" s="95" t="str">
        <f>IF(ISBLANK(P39),"esim. kolme lehmusta rakennuksen lounaispuolella",P39)</f>
        <v>esim. kolme lehmusta rakennuksen lounaispuolella</v>
      </c>
      <c r="P39" s="96"/>
      <c r="Q39" s="88"/>
      <c r="S39" s="90"/>
      <c r="T39" s="87"/>
      <c r="U39" s="87" t="str">
        <f>IF(U38=0,"- Ei säilytettäviä tai istutettavia puita, on suositeltavaa lisätä joko säilytettäviä tai istutettavia puita","")</f>
        <v>- Ei säilytettäviä tai istutettavia puita, on suositeltavaa lisätä joko säilytettäviä tai istutettavia puita</v>
      </c>
      <c r="V39" s="87"/>
      <c r="W39" s="87"/>
      <c r="X39" s="87"/>
      <c r="Y39" s="87"/>
      <c r="Z39" s="87"/>
      <c r="AA39" s="87"/>
      <c r="AB39" s="87"/>
      <c r="AC39" s="87"/>
      <c r="AD39" s="91"/>
    </row>
    <row r="40" spans="2:30" ht="30" customHeight="1">
      <c r="B40" s="349" t="str">
        <f>IF(Rajaukset!F6&gt;0,Rajaukset!F6,"-")</f>
        <v>-</v>
      </c>
      <c r="D40" s="770"/>
      <c r="E40" s="776"/>
      <c r="F40" s="627" t="s">
        <v>155</v>
      </c>
      <c r="G40" s="629"/>
      <c r="H40" s="322" t="s">
        <v>153</v>
      </c>
      <c r="I40" s="324"/>
      <c r="J40" s="327">
        <f>Painokertoimet!M38</f>
        <v>0.89548611111111109</v>
      </c>
      <c r="K40" s="327">
        <f>I40*15</f>
        <v>0</v>
      </c>
      <c r="L40" s="327">
        <f>I40*15*J40</f>
        <v>0</v>
      </c>
      <c r="M40" s="333" t="s">
        <v>243</v>
      </c>
      <c r="N40" s="74"/>
      <c r="O40" s="95" t="str">
        <f>IF(ISBLANK(P40),"esim. kolme pihlajaa talon B lounaispuolella",P40)</f>
        <v>esim. kolme pihlajaa talon B lounaispuolella</v>
      </c>
      <c r="P40" s="96"/>
      <c r="Q40" s="88"/>
      <c r="S40" s="92"/>
      <c r="T40" s="92"/>
    </row>
    <row r="41" spans="2:30" ht="30" customHeight="1">
      <c r="B41" s="348" t="s">
        <v>166</v>
      </c>
      <c r="D41" s="770"/>
      <c r="E41" s="776"/>
      <c r="F41" s="627" t="s">
        <v>347</v>
      </c>
      <c r="G41" s="629"/>
      <c r="H41" s="322" t="s">
        <v>153</v>
      </c>
      <c r="I41" s="324"/>
      <c r="J41" s="327">
        <f>Painokertoimet!M39</f>
        <v>0.98402777777777772</v>
      </c>
      <c r="K41" s="327">
        <f>I41*10</f>
        <v>0</v>
      </c>
      <c r="L41" s="327">
        <f>I41*15*J41</f>
        <v>0</v>
      </c>
      <c r="M41" s="333" t="s">
        <v>243</v>
      </c>
      <c r="N41" s="74"/>
      <c r="O41" s="95" t="str">
        <f>IF(ISBLANK(P41),"esim. kaksi omenapuuta ja neljä mustaherukkapensasta pihan keskellä",P41)</f>
        <v>esim. kaksi omenapuuta ja neljä mustaherukkapensasta pihan keskellä</v>
      </c>
      <c r="P41" s="96"/>
      <c r="Q41" s="88"/>
      <c r="S41" s="92"/>
      <c r="T41" s="92"/>
    </row>
    <row r="42" spans="2:30" ht="30" customHeight="1">
      <c r="B42" s="350" t="str">
        <f>IF(Rajaukset!D6&gt;0,Rajaukset!D6,"-")</f>
        <v>-</v>
      </c>
      <c r="D42" s="770"/>
      <c r="E42" s="776"/>
      <c r="F42" s="627" t="s">
        <v>268</v>
      </c>
      <c r="G42" s="629"/>
      <c r="H42" s="322" t="s">
        <v>152</v>
      </c>
      <c r="I42" s="324"/>
      <c r="J42" s="327">
        <f>Painokertoimet!M40</f>
        <v>0.71145833333333319</v>
      </c>
      <c r="K42" s="327">
        <f t="shared" ref="K42:K44" si="31">I42</f>
        <v>0</v>
      </c>
      <c r="L42" s="327">
        <f>I42*J42</f>
        <v>0</v>
      </c>
      <c r="M42" s="333" t="s">
        <v>243</v>
      </c>
      <c r="N42" s="74"/>
      <c r="O42" s="95" t="str">
        <f>IF(ISBLANK(P42),"esim. turvahiekka leikkipaikalla",P42)</f>
        <v>esim. turvahiekka leikkipaikalla</v>
      </c>
      <c r="P42" s="96"/>
      <c r="Q42" s="88"/>
      <c r="S42" s="92"/>
      <c r="T42" s="92"/>
    </row>
    <row r="43" spans="2:30" ht="30" customHeight="1" thickBot="1">
      <c r="D43" s="771"/>
      <c r="E43" s="777"/>
      <c r="F43" s="627" t="s">
        <v>488</v>
      </c>
      <c r="G43" s="629"/>
      <c r="H43" s="322" t="s">
        <v>332</v>
      </c>
      <c r="I43" s="632"/>
      <c r="J43" s="327">
        <f>Painokertoimet!M41</f>
        <v>0.66388888888888875</v>
      </c>
      <c r="K43" s="327">
        <f t="shared" si="31"/>
        <v>0</v>
      </c>
      <c r="L43" s="327">
        <f t="shared" ref="L43:L44" si="32">I43*J43</f>
        <v>0</v>
      </c>
      <c r="M43" s="333" t="s">
        <v>243</v>
      </c>
      <c r="N43" s="74"/>
      <c r="O43" s="95"/>
      <c r="P43" s="96"/>
      <c r="Q43" s="88"/>
      <c r="S43" s="92"/>
      <c r="T43" s="92"/>
    </row>
    <row r="44" spans="2:30" ht="30" customHeight="1" thickBot="1">
      <c r="D44" s="789" t="s">
        <v>251</v>
      </c>
      <c r="E44" s="790"/>
      <c r="F44" s="630" t="s">
        <v>487</v>
      </c>
      <c r="G44" s="631"/>
      <c r="H44" s="323" t="s">
        <v>486</v>
      </c>
      <c r="I44" s="633"/>
      <c r="J44" s="328">
        <f>Painokertoimet!M42</f>
        <v>0.51249999999999996</v>
      </c>
      <c r="K44" s="328">
        <f t="shared" si="31"/>
        <v>0</v>
      </c>
      <c r="L44" s="328">
        <f t="shared" si="32"/>
        <v>0</v>
      </c>
      <c r="M44" s="564" t="s">
        <v>243</v>
      </c>
      <c r="N44" s="74"/>
      <c r="O44" s="95"/>
      <c r="P44" s="96"/>
      <c r="Q44" s="88"/>
      <c r="S44" s="92"/>
      <c r="T44" s="92"/>
    </row>
    <row r="45" spans="2:30" ht="30" customHeight="1">
      <c r="F45" s="271"/>
      <c r="N45" s="74"/>
      <c r="O45" s="95"/>
      <c r="P45" s="96"/>
      <c r="Q45" s="88"/>
      <c r="S45" s="92"/>
      <c r="T45" s="92"/>
    </row>
    <row r="46" spans="2:30" ht="30" customHeight="1" thickBot="1">
      <c r="F46" s="269"/>
      <c r="G46" s="94"/>
      <c r="N46" s="74"/>
      <c r="O46" s="96"/>
      <c r="Q46" s="88"/>
      <c r="S46" s="92"/>
      <c r="T46" s="92"/>
    </row>
    <row r="47" spans="2:30" ht="30" customHeight="1" thickBot="1">
      <c r="D47" s="634" t="s">
        <v>250</v>
      </c>
      <c r="E47" s="635"/>
      <c r="F47" s="636"/>
      <c r="G47" s="637"/>
      <c r="H47" s="635"/>
      <c r="I47" s="635"/>
      <c r="J47" s="635"/>
      <c r="K47" s="638"/>
      <c r="L47" s="19"/>
      <c r="M47" s="634" t="s">
        <v>248</v>
      </c>
      <c r="N47" s="19"/>
      <c r="O47" s="19"/>
      <c r="Q47" s="88"/>
      <c r="S47" s="92"/>
      <c r="T47" s="92"/>
    </row>
    <row r="48" spans="2:30" ht="30" customHeight="1">
      <c r="D48" s="635"/>
      <c r="E48" s="635"/>
      <c r="F48" s="635"/>
      <c r="G48" s="635"/>
      <c r="H48" s="635"/>
      <c r="I48" s="635"/>
      <c r="J48" s="635"/>
      <c r="K48" s="638"/>
      <c r="L48" s="19"/>
      <c r="M48" s="19"/>
      <c r="N48" s="19"/>
      <c r="O48" s="19"/>
      <c r="S48" s="92"/>
      <c r="T48" s="92"/>
    </row>
    <row r="49" spans="4:17" ht="30" customHeight="1">
      <c r="D49" s="635"/>
      <c r="E49" s="635"/>
      <c r="F49" s="635"/>
      <c r="G49" s="635"/>
      <c r="H49" s="635"/>
      <c r="I49" s="635"/>
      <c r="J49" s="635"/>
      <c r="K49" s="638"/>
      <c r="L49" s="19"/>
      <c r="M49" s="19"/>
      <c r="N49" s="19"/>
      <c r="O49" s="19"/>
      <c r="Q49" s="20"/>
    </row>
    <row r="50" spans="4:17" ht="30" customHeight="1">
      <c r="D50" s="635"/>
      <c r="E50" s="635"/>
      <c r="F50" s="635"/>
      <c r="G50" s="635"/>
      <c r="H50" s="635"/>
      <c r="I50" s="635"/>
      <c r="J50" s="635"/>
      <c r="K50" s="638"/>
      <c r="L50" s="19"/>
      <c r="M50" s="19"/>
      <c r="N50" s="19"/>
      <c r="O50" s="19"/>
    </row>
    <row r="51" spans="4:17" ht="30" customHeight="1">
      <c r="D51" s="635"/>
      <c r="E51" s="635"/>
      <c r="F51" s="635"/>
      <c r="G51" s="635"/>
      <c r="H51" s="635"/>
      <c r="I51" s="635"/>
      <c r="J51" s="635"/>
      <c r="K51" s="638"/>
      <c r="L51" s="19"/>
      <c r="M51" s="19"/>
      <c r="N51" s="19"/>
      <c r="O51" s="19"/>
    </row>
    <row r="52" spans="4:17" ht="16">
      <c r="D52" s="635"/>
      <c r="E52" s="635"/>
      <c r="F52" s="635"/>
      <c r="G52" s="635"/>
      <c r="H52" s="635"/>
      <c r="I52" s="635"/>
      <c r="J52" s="635"/>
      <c r="K52" s="638"/>
      <c r="L52" s="19"/>
      <c r="M52" s="19"/>
      <c r="N52" s="19"/>
      <c r="O52" s="19"/>
    </row>
    <row r="53" spans="4:17" ht="16">
      <c r="D53" s="635"/>
      <c r="E53" s="635"/>
      <c r="F53" s="635"/>
      <c r="G53" s="635"/>
      <c r="H53" s="635"/>
      <c r="I53" s="635"/>
      <c r="J53" s="635"/>
      <c r="K53" s="638"/>
      <c r="L53" s="19"/>
      <c r="M53" s="19"/>
      <c r="N53" s="19"/>
      <c r="O53" s="19"/>
    </row>
  </sheetData>
  <sheetProtection algorithmName="SHA-512" hashValue="5UHuM78/U+QFFiXB8HKKQ12LNZfSW1jJG3biqvfabBo+Qfr4D7NAGw0n0t0/J3V7DBNuMqaGkOihx49OEfiJ4Q==" saltValue="ak+DExkqXWmOnWmo3KMfVw==" spinCount="100000" sheet="1" objects="1" scenarios="1"/>
  <customSheetViews>
    <customSheetView guid="{C0826E8D-7112-6B45-A18A-1E6622F31D95}" scale="110" fitToPage="1" hiddenColumns="1">
      <selection activeCell="M8" sqref="M8"/>
      <pageMargins left="0.7" right="0.7" top="0.75" bottom="0.75" header="0.3" footer="0.3"/>
      <pageSetup paperSize="8" scale="80" orientation="landscape" r:id="rId1"/>
    </customSheetView>
  </customSheetViews>
  <mergeCells count="29">
    <mergeCell ref="B11:B12"/>
    <mergeCell ref="D44:E44"/>
    <mergeCell ref="D2:E2"/>
    <mergeCell ref="D10:E10"/>
    <mergeCell ref="D22:E22"/>
    <mergeCell ref="D27:D28"/>
    <mergeCell ref="D23:D25"/>
    <mergeCell ref="D30:D35"/>
    <mergeCell ref="D29:E29"/>
    <mergeCell ref="B20:B31"/>
    <mergeCell ref="D37:E43"/>
    <mergeCell ref="F29:G29"/>
    <mergeCell ref="F32:G32"/>
    <mergeCell ref="F7:G7"/>
    <mergeCell ref="F11:F14"/>
    <mergeCell ref="F16:G16"/>
    <mergeCell ref="F17:G17"/>
    <mergeCell ref="F18:G18"/>
    <mergeCell ref="F19:G19"/>
    <mergeCell ref="F20:G20"/>
    <mergeCell ref="F15:G15"/>
    <mergeCell ref="F3:F6"/>
    <mergeCell ref="F21:G21"/>
    <mergeCell ref="F22:G22"/>
    <mergeCell ref="D3:D9"/>
    <mergeCell ref="E3:E9"/>
    <mergeCell ref="E11:E14"/>
    <mergeCell ref="D11:D21"/>
    <mergeCell ref="E15:E21"/>
  </mergeCells>
  <phoneticPr fontId="12" type="noConversion"/>
  <hyperlinks>
    <hyperlink ref="E26" location="'Hulevesiratkaisujen lisätiedot'!A2" display="i" xr:uid="{00000000-0004-0000-0200-000000000000}"/>
    <hyperlink ref="E27" location="'Hulevesiratkaisujen lisätiedot'!A6" display="i" xr:uid="{00000000-0004-0000-0200-000001000000}"/>
    <hyperlink ref="E28" location="'Hulevesiratkaisujen lisätiedot'!A6" display="i" xr:uid="{00000000-0004-0000-0200-000002000000}"/>
    <hyperlink ref="E30" location="'Elementtien lisätiedot'!A20" display="i" xr:uid="{00000000-0004-0000-0200-000004000000}"/>
    <hyperlink ref="E23" location="'Elementtien lisätiedot'!A8" display="i" xr:uid="{00000000-0004-0000-0200-000005000000}"/>
    <hyperlink ref="E24" location="'Hulevesiratkaisujen lisätiedot'!A2" display="i" xr:uid="{00000000-0004-0000-0200-000006000000}"/>
    <hyperlink ref="E25" location="'Hulevesiratkaisujen lisätiedot'!A2" display="i" xr:uid="{00000000-0004-0000-0200-000007000000}"/>
    <hyperlink ref="E31" location="'Elementtien lisätiedot'!A12" display="i" xr:uid="{00000000-0004-0000-0200-000008000000}"/>
    <hyperlink ref="E32" location="'Elementtien lisätiedot'!A14" display="i" xr:uid="{00000000-0004-0000-0200-000009000000}"/>
    <hyperlink ref="E33" location="'Elementtien lisätiedot'!A22" display="i" xr:uid="{00000000-0004-0000-0200-00000A000000}"/>
    <hyperlink ref="D47" location="Rajaukset!A1" display="Edellinen" xr:uid="{C73AAF0A-9853-024F-956A-BC9E99E0D5E3}"/>
    <hyperlink ref="M47" location="Luontolaskuri!A1" display="Seuraava" xr:uid="{9FEA6423-CE35-4844-BC85-C05C697A05FA}"/>
    <hyperlink ref="D10" location="Lisatietoa!A2" display="Lisätietoa" xr:uid="{0DDD0D9D-42C7-CF4E-A61E-CA12A038346A}"/>
    <hyperlink ref="D22" location="Lisatietoa!A7" display="Lisätietoa" xr:uid="{1C3A662C-A501-CD4E-A50D-C8081CD3F0FA}"/>
    <hyperlink ref="D29" location="Lisätietoa!B22" display="Lisätietoa" xr:uid="{2025F559-973A-124D-A1C9-B6873D807D42}"/>
    <hyperlink ref="D36" location="'Viherkertoimen lisätiedot'!B24" display="Lisätietoa" xr:uid="{B1C7C9BA-991F-1E43-9FD2-C3101B45C0AE}"/>
    <hyperlink ref="D44" location="Lisatietoa!A29" display="Lisätietoa" xr:uid="{ED1D4EF0-4E92-1447-9DC5-375614C04DBB}"/>
    <hyperlink ref="E36" location="'Elementtien lisätiedot'!A26" display="i" xr:uid="{A48D64C6-2667-3C4B-9A87-28ED4D1F031F}"/>
    <hyperlink ref="D26" location="'Viherkertoimen lisätiedot'!B18" display="Lisätietoa" xr:uid="{6573C179-6FB7-44E5-BDB4-798AFDD0C538}"/>
    <hyperlink ref="E35" location="'Elementtien lisätiedot'!A28" display="i" xr:uid="{7C798A44-2CE8-6B42-B844-375A1AADF0A7}"/>
    <hyperlink ref="D10:E10" location="'Viherkertoimen lisätiedot'!B2" display="Lisätietoa" xr:uid="{9F964434-D205-7F49-96E5-A2D64DB8D5D8}"/>
    <hyperlink ref="D22:E22" location="'Viherkertoimen lisätiedot'!B8" display="Lisätietoa" xr:uid="{779F386D-072E-0040-B5A3-310A392B2015}"/>
    <hyperlink ref="D44:E44" location="'Viherkertoimen lisätiedot'!B32" display="Lisätietoa" xr:uid="{F794EA5C-FD53-6549-B96B-E0344E997B6C}"/>
    <hyperlink ref="D29:E29" location="'Viherkertoimen lisätiedot'!B22" display="Lisätietoa" xr:uid="{4D5F20C7-DF00-6B40-99BE-E4C1C1FFCAAC}"/>
    <hyperlink ref="E34" location="'Elementtien lisätiedot'!A18" display="i" xr:uid="{00000000-0004-0000-0200-00000C000000}"/>
    <hyperlink ref="E3:E9" location="'Elementtien lisätiedot'!A2" display="i" xr:uid="{D477A3FC-D7AE-974B-8553-D5D3BF70F5D5}"/>
    <hyperlink ref="E11:E14" location="'Elementtien lisätiedot'!A4" display="i" xr:uid="{C296D36F-0039-1640-AA9A-184617A1B2C2}"/>
    <hyperlink ref="E24:E26" location="'Elementtien lisätiedot'!A6" display="i" xr:uid="{B4CD0C61-FA5C-D440-9130-5C4A23482A30}"/>
    <hyperlink ref="E27:E28" location="'Elementtien lisätiedot'!A10" display="i" xr:uid="{0D8C87D5-7439-714A-837D-BCDCD76CE09E}"/>
  </hyperlinks>
  <pageMargins left="0.7" right="0.7" top="0.75" bottom="0.75" header="0.3" footer="0.3"/>
  <pageSetup paperSize="8" scale="80" orientation="landscape" r:id="rId2"/>
  <ignoredErrors>
    <ignoredError sqref="K22:L22 L8" formula="1"/>
    <ignoredError sqref="B13 B17" evalError="1"/>
  </ignoredError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161D56-F377-4C45-A409-BF319DD00EAC}">
  <sheetPr codeName="Taul4">
    <tabColor rgb="FFA6D9C4"/>
  </sheetPr>
  <dimension ref="A1:K68"/>
  <sheetViews>
    <sheetView showGridLines="0" zoomScaleNormal="100" workbookViewId="0"/>
  </sheetViews>
  <sheetFormatPr baseColWidth="10" defaultColWidth="11.5" defaultRowHeight="15"/>
  <cols>
    <col min="1" max="1" width="3.33203125" customWidth="1"/>
    <col min="2" max="2" width="20.83203125" customWidth="1"/>
    <col min="3" max="3" width="36.5" customWidth="1"/>
    <col min="4" max="4" width="109.5" customWidth="1"/>
    <col min="5" max="5" width="5.83203125" customWidth="1"/>
    <col min="6" max="7" width="15.83203125" customWidth="1"/>
    <col min="8" max="8" width="10.83203125" customWidth="1"/>
    <col min="9" max="9" width="60.83203125" customWidth="1"/>
    <col min="10" max="10" width="10.83203125" customWidth="1"/>
    <col min="11" max="11" width="50.83203125" customWidth="1"/>
    <col min="12" max="12" width="10.83203125" customWidth="1"/>
  </cols>
  <sheetData>
    <row r="1" spans="2:10" ht="20" customHeight="1" thickBot="1"/>
    <row r="2" spans="2:10" s="249" customFormat="1" ht="60" customHeight="1" thickBot="1">
      <c r="B2" s="826" t="s">
        <v>373</v>
      </c>
      <c r="C2" s="827"/>
      <c r="D2" s="827"/>
      <c r="E2" s="827"/>
      <c r="F2" s="828"/>
      <c r="G2" s="829"/>
      <c r="H2" s="254"/>
      <c r="I2" s="375" t="s">
        <v>397</v>
      </c>
      <c r="J2"/>
    </row>
    <row r="3" spans="2:10" ht="30" customHeight="1" thickBot="1">
      <c r="B3" s="360" t="s">
        <v>408</v>
      </c>
      <c r="C3" s="358" t="s">
        <v>410</v>
      </c>
      <c r="D3" s="351"/>
      <c r="E3" s="359"/>
      <c r="F3" s="364" t="s">
        <v>120</v>
      </c>
      <c r="G3" s="352" t="s">
        <v>389</v>
      </c>
      <c r="H3" s="255"/>
      <c r="I3" s="815" t="str">
        <f>IF(I34&gt;-2,I39,"Luontolaskuria ei täytetty")</f>
        <v>Luontolaskuria ei täytetty</v>
      </c>
    </row>
    <row r="4" spans="2:10" ht="30" customHeight="1" thickBot="1">
      <c r="B4" s="818" t="s">
        <v>433</v>
      </c>
      <c r="C4" s="819" t="s">
        <v>393</v>
      </c>
      <c r="D4" s="819"/>
      <c r="E4" s="321" t="s">
        <v>252</v>
      </c>
      <c r="F4" s="370" t="s">
        <v>175</v>
      </c>
      <c r="G4" s="353" t="str">
        <f>G33&amp;" / 3"</f>
        <v>0 / 3</v>
      </c>
      <c r="H4" s="255"/>
      <c r="I4" s="815"/>
    </row>
    <row r="5" spans="2:10" ht="30" customHeight="1" thickBot="1">
      <c r="B5" s="816"/>
      <c r="C5" s="820" t="s">
        <v>424</v>
      </c>
      <c r="D5" s="820"/>
      <c r="E5" s="321" t="s">
        <v>252</v>
      </c>
      <c r="F5" s="371" t="s">
        <v>175</v>
      </c>
      <c r="G5" s="353" t="str">
        <f>G34&amp;" / 2"</f>
        <v>0 / 2</v>
      </c>
      <c r="H5" s="255"/>
    </row>
    <row r="6" spans="2:10" ht="30" customHeight="1" thickBot="1">
      <c r="B6" s="816"/>
      <c r="C6" s="820" t="s">
        <v>375</v>
      </c>
      <c r="D6" s="820"/>
      <c r="E6" s="321" t="s">
        <v>252</v>
      </c>
      <c r="F6" s="368"/>
      <c r="G6" s="353" t="str">
        <f>G35&amp;" / 1"</f>
        <v>0 / 1</v>
      </c>
      <c r="H6" s="255"/>
      <c r="I6" s="376" t="s">
        <v>403</v>
      </c>
    </row>
    <row r="7" spans="2:10" ht="30" customHeight="1" thickBot="1">
      <c r="B7" s="713"/>
      <c r="C7" s="820" t="s">
        <v>395</v>
      </c>
      <c r="D7" s="820"/>
      <c r="E7" s="321" t="s">
        <v>252</v>
      </c>
      <c r="F7" s="368"/>
      <c r="G7" s="353" t="str">
        <f>G36&amp;" / 1"</f>
        <v>0 / 1</v>
      </c>
      <c r="H7" s="255"/>
      <c r="I7" s="824" t="str">
        <f>I51</f>
        <v>Suunnitelmassa vieraslajeja jää tontille/kortteliin!</v>
      </c>
    </row>
    <row r="8" spans="2:10" ht="30" customHeight="1" thickBot="1">
      <c r="B8" s="817" t="str">
        <f>SUM(G33:G37)&amp;" / 8"</f>
        <v>0 / 8</v>
      </c>
      <c r="C8" s="820" t="s">
        <v>452</v>
      </c>
      <c r="D8" s="820"/>
      <c r="E8" s="321" t="s">
        <v>252</v>
      </c>
      <c r="F8" s="368"/>
      <c r="G8" s="353" t="str">
        <f>G37&amp;" / 1"</f>
        <v>0 / 1</v>
      </c>
      <c r="H8" s="255"/>
      <c r="I8" s="824"/>
    </row>
    <row r="9" spans="2:10" ht="30" customHeight="1" thickBot="1">
      <c r="B9" s="821"/>
      <c r="C9" s="830" t="s">
        <v>597</v>
      </c>
      <c r="D9" s="830"/>
      <c r="E9" s="366" t="s">
        <v>252</v>
      </c>
      <c r="F9" s="369"/>
      <c r="G9" s="363" t="str">
        <f>G38&amp;" / 1"</f>
        <v>0 / 1</v>
      </c>
      <c r="H9" s="255"/>
      <c r="I9" s="270"/>
    </row>
    <row r="10" spans="2:10" ht="30" customHeight="1" thickBot="1">
      <c r="B10" s="358"/>
      <c r="C10" s="680"/>
      <c r="D10" s="680"/>
      <c r="E10" s="681"/>
      <c r="F10" s="351"/>
      <c r="G10" s="359"/>
      <c r="H10" s="255"/>
      <c r="I10" s="255"/>
    </row>
    <row r="11" spans="2:10" ht="30" customHeight="1" thickBot="1">
      <c r="B11" s="816" t="s">
        <v>383</v>
      </c>
      <c r="C11" s="819" t="s">
        <v>590</v>
      </c>
      <c r="D11" s="819"/>
      <c r="E11" s="321" t="s">
        <v>252</v>
      </c>
      <c r="F11" s="372"/>
      <c r="G11" s="357" t="str">
        <f>G39&amp;" / 0"</f>
        <v>-2 / 0</v>
      </c>
      <c r="H11" s="255"/>
      <c r="I11" s="255"/>
    </row>
    <row r="12" spans="2:10" ht="30" customHeight="1" thickBot="1">
      <c r="B12" s="816"/>
      <c r="C12" s="819" t="s">
        <v>394</v>
      </c>
      <c r="D12" s="819"/>
      <c r="E12" s="321" t="s">
        <v>252</v>
      </c>
      <c r="F12" s="712"/>
      <c r="G12" s="353" t="str">
        <f t="shared" ref="G12:G16" si="0">G40&amp;" / 1"</f>
        <v>0 / 1</v>
      </c>
      <c r="H12" s="255"/>
      <c r="I12" s="255"/>
    </row>
    <row r="13" spans="2:10" ht="30" customHeight="1" thickBot="1">
      <c r="B13" s="816"/>
      <c r="C13" s="820" t="s">
        <v>387</v>
      </c>
      <c r="D13" s="820"/>
      <c r="E13" s="321" t="s">
        <v>252</v>
      </c>
      <c r="F13" s="373"/>
      <c r="G13" s="353" t="str">
        <f t="shared" si="0"/>
        <v>0 / 1</v>
      </c>
      <c r="H13" s="255"/>
      <c r="I13" s="255"/>
    </row>
    <row r="14" spans="2:10" ht="30" customHeight="1" thickBot="1">
      <c r="B14" s="816"/>
      <c r="C14" s="820" t="s">
        <v>388</v>
      </c>
      <c r="D14" s="820"/>
      <c r="E14" s="321" t="s">
        <v>252</v>
      </c>
      <c r="F14" s="373"/>
      <c r="G14" s="353" t="str">
        <f t="shared" si="0"/>
        <v>0 / 1</v>
      </c>
      <c r="H14" s="255"/>
      <c r="I14" s="255"/>
    </row>
    <row r="15" spans="2:10" ht="30" customHeight="1" thickBot="1">
      <c r="B15" s="817" t="str">
        <f>SUM(G39:G44)&amp;" / 5"</f>
        <v>-2 / 5</v>
      </c>
      <c r="C15" s="820" t="s">
        <v>477</v>
      </c>
      <c r="D15" s="820"/>
      <c r="E15" s="321" t="s">
        <v>252</v>
      </c>
      <c r="F15" s="373"/>
      <c r="G15" s="353" t="str">
        <f t="shared" si="0"/>
        <v>0 / 1</v>
      </c>
      <c r="H15" s="255"/>
      <c r="I15" s="255"/>
    </row>
    <row r="16" spans="2:10" ht="30" customHeight="1" thickBot="1">
      <c r="B16" s="817"/>
      <c r="C16" s="830" t="s">
        <v>407</v>
      </c>
      <c r="D16" s="830"/>
      <c r="E16" s="321" t="s">
        <v>252</v>
      </c>
      <c r="F16" s="374"/>
      <c r="G16" s="356" t="str">
        <f t="shared" si="0"/>
        <v>0 / 1</v>
      </c>
      <c r="H16" s="255"/>
      <c r="I16" s="255"/>
    </row>
    <row r="17" spans="1:10" ht="30" customHeight="1" thickBot="1">
      <c r="B17" s="358"/>
      <c r="C17" s="680"/>
      <c r="D17" s="680"/>
      <c r="E17" s="682"/>
      <c r="F17" s="351"/>
      <c r="G17" s="359"/>
      <c r="H17" s="255"/>
      <c r="I17" s="255"/>
    </row>
    <row r="18" spans="1:10" ht="30" customHeight="1">
      <c r="B18" s="816" t="s">
        <v>479</v>
      </c>
      <c r="C18" s="819" t="s">
        <v>436</v>
      </c>
      <c r="D18" s="819"/>
      <c r="E18" s="819"/>
      <c r="F18" s="367"/>
      <c r="G18" s="357" t="str">
        <f>G45&amp;" / 0,5"</f>
        <v>0 / 0,5</v>
      </c>
      <c r="H18" s="255"/>
      <c r="I18" s="255"/>
    </row>
    <row r="19" spans="1:10" ht="30" customHeight="1">
      <c r="B19" s="816"/>
      <c r="C19" s="820" t="s">
        <v>453</v>
      </c>
      <c r="D19" s="820"/>
      <c r="E19" s="820"/>
      <c r="F19" s="368"/>
      <c r="G19" s="353" t="str">
        <f>G46&amp;" / 0,5"</f>
        <v>0 / 0,5</v>
      </c>
      <c r="H19" s="255"/>
      <c r="I19" s="255"/>
    </row>
    <row r="20" spans="1:10" ht="30" customHeight="1">
      <c r="B20" s="816"/>
      <c r="C20" s="820" t="s">
        <v>379</v>
      </c>
      <c r="D20" s="820"/>
      <c r="E20" s="820"/>
      <c r="F20" s="368"/>
      <c r="G20" s="353" t="str">
        <f>G47&amp;" / 0,5"</f>
        <v>0 / 0,5</v>
      </c>
      <c r="H20" s="255"/>
      <c r="I20" s="255"/>
    </row>
    <row r="21" spans="1:10" ht="30" customHeight="1" thickBot="1">
      <c r="B21" s="816"/>
      <c r="C21" s="831" t="s">
        <v>602</v>
      </c>
      <c r="D21" s="820" t="s">
        <v>482</v>
      </c>
      <c r="E21" s="820"/>
      <c r="F21" s="368"/>
      <c r="G21" s="825" t="str">
        <f>G48&amp;" / 1"</f>
        <v>0 / 1</v>
      </c>
      <c r="H21" s="255"/>
      <c r="I21" s="255"/>
    </row>
    <row r="22" spans="1:10" ht="30" customHeight="1" thickBot="1">
      <c r="B22" s="361"/>
      <c r="C22" s="831"/>
      <c r="D22" s="720" t="s">
        <v>591</v>
      </c>
      <c r="E22" s="321" t="s">
        <v>252</v>
      </c>
      <c r="F22" s="368"/>
      <c r="G22" s="825"/>
      <c r="H22" s="802"/>
      <c r="I22" s="255"/>
    </row>
    <row r="23" spans="1:10" ht="30" customHeight="1" thickBot="1">
      <c r="B23" s="361"/>
      <c r="C23" s="831"/>
      <c r="D23" s="720" t="s">
        <v>603</v>
      </c>
      <c r="E23" s="321" t="s">
        <v>252</v>
      </c>
      <c r="F23" s="368"/>
      <c r="G23" s="825"/>
      <c r="H23" s="802"/>
      <c r="I23" s="255"/>
    </row>
    <row r="24" spans="1:10" ht="30" customHeight="1" thickBot="1">
      <c r="B24" s="817" t="str">
        <f>SUM(G45:G52)&amp;" / 2,5"</f>
        <v>0 / 2,5</v>
      </c>
      <c r="C24" s="831"/>
      <c r="D24" s="720" t="s">
        <v>592</v>
      </c>
      <c r="E24" s="321" t="s">
        <v>252</v>
      </c>
      <c r="F24" s="368"/>
      <c r="G24" s="825"/>
      <c r="H24" s="255"/>
      <c r="I24" s="255"/>
    </row>
    <row r="25" spans="1:10" ht="30" customHeight="1" thickBot="1">
      <c r="B25" s="817"/>
      <c r="C25" s="820" t="s">
        <v>404</v>
      </c>
      <c r="D25" s="820"/>
      <c r="E25" s="820"/>
      <c r="F25" s="368"/>
      <c r="G25" s="355" t="str">
        <f>G52&amp;" / 0,5"</f>
        <v>0 / 0,5</v>
      </c>
      <c r="I25" s="255"/>
    </row>
    <row r="26" spans="1:10" ht="30" customHeight="1" thickBot="1">
      <c r="B26" s="358"/>
      <c r="C26" s="680"/>
      <c r="D26" s="680"/>
      <c r="E26" s="683"/>
      <c r="F26" s="365"/>
      <c r="G26" s="359"/>
      <c r="H26" s="255"/>
      <c r="I26" s="255"/>
    </row>
    <row r="27" spans="1:10" ht="30" customHeight="1" thickBot="1">
      <c r="B27" s="818" t="s">
        <v>392</v>
      </c>
      <c r="C27" s="813" t="s">
        <v>381</v>
      </c>
      <c r="D27" s="813"/>
      <c r="E27" s="321" t="s">
        <v>252</v>
      </c>
      <c r="F27" s="367"/>
      <c r="G27" s="357" t="str">
        <f>G53&amp;" / 0,5"</f>
        <v>0 / 0,5</v>
      </c>
      <c r="H27" s="255"/>
      <c r="I27" s="688"/>
    </row>
    <row r="28" spans="1:10" ht="30" customHeight="1" thickBot="1">
      <c r="B28" s="816"/>
      <c r="C28" s="814" t="s">
        <v>380</v>
      </c>
      <c r="D28" s="814"/>
      <c r="E28" s="321" t="s">
        <v>252</v>
      </c>
      <c r="F28" s="368"/>
      <c r="G28" s="353" t="str">
        <f>G54&amp;" / 0,5"</f>
        <v>0 / 0,5</v>
      </c>
      <c r="H28" s="255"/>
      <c r="I28" s="688"/>
    </row>
    <row r="29" spans="1:10" ht="30" customHeight="1" thickBot="1">
      <c r="B29" s="362" t="str">
        <f>SUM(G53:G55)&amp;" / 1,5"</f>
        <v>0 / 1,5</v>
      </c>
      <c r="C29" s="822" t="s">
        <v>382</v>
      </c>
      <c r="D29" s="822"/>
      <c r="E29" s="823"/>
      <c r="F29" s="369"/>
      <c r="G29" s="354" t="str">
        <f>G55&amp;" / 0,5"</f>
        <v>0 / 0,5</v>
      </c>
      <c r="H29" s="255"/>
      <c r="I29" s="606" t="s">
        <v>248</v>
      </c>
    </row>
    <row r="30" spans="1:10" ht="30" customHeight="1">
      <c r="B30" s="299"/>
      <c r="C30" s="297"/>
      <c r="D30" s="297"/>
      <c r="E30" s="297"/>
      <c r="G30" s="298"/>
      <c r="H30" s="255"/>
      <c r="I30" s="689"/>
    </row>
    <row r="31" spans="1:10" ht="30" customHeight="1">
      <c r="I31" s="252"/>
    </row>
    <row r="32" spans="1:10" ht="30" hidden="1" customHeight="1" thickBot="1">
      <c r="A32" s="250"/>
      <c r="B32" s="250"/>
      <c r="C32" s="380" t="s">
        <v>119</v>
      </c>
      <c r="D32" s="381"/>
      <c r="E32" s="382"/>
      <c r="F32" s="379" t="s">
        <v>120</v>
      </c>
      <c r="G32" s="379" t="s">
        <v>398</v>
      </c>
      <c r="H32" s="684"/>
      <c r="I32" s="377" t="s">
        <v>400</v>
      </c>
      <c r="J32" s="685"/>
    </row>
    <row r="33" spans="1:11" ht="30" hidden="1" customHeight="1">
      <c r="A33" s="250"/>
      <c r="B33" s="250"/>
      <c r="C33" s="809" t="s">
        <v>374</v>
      </c>
      <c r="D33" s="810"/>
      <c r="E33" s="810"/>
      <c r="F33" s="690" t="str">
        <f>F4</f>
        <v>-</v>
      </c>
      <c r="G33" s="690">
        <f>IF(F33=Kelpoisuusehdot!A21,0,IF(Luontolaskuri!F33=Kelpoisuusehdot!A22,0,IF(Luontolaskuri!F33=Kelpoisuusehdot!A23,0.5,IF(Luontolaskuri!F33=Kelpoisuusehdot!A24,1,IF(Luontolaskuri!F33=Kelpoisuusehdot!A25,2,IF(F33=Kelpoisuusehdot!A26,3,0))))))</f>
        <v>0</v>
      </c>
      <c r="H33" s="684"/>
      <c r="I33" s="696" t="s">
        <v>390</v>
      </c>
      <c r="J33" s="685"/>
    </row>
    <row r="34" spans="1:11" ht="30" hidden="1" customHeight="1">
      <c r="A34" s="250"/>
      <c r="B34" s="250"/>
      <c r="C34" s="805" t="s">
        <v>424</v>
      </c>
      <c r="D34" s="806"/>
      <c r="E34" s="806"/>
      <c r="F34" s="691" t="str">
        <f>F5</f>
        <v>-</v>
      </c>
      <c r="G34" s="691">
        <f>IF(F34=Kelpoisuusehdot!A29,0,IF(Luontolaskuri!F34=Kelpoisuusehdot!A30,0,IF(Luontolaskuri!F34=Kelpoisuusehdot!A31,1,IF(Luontolaskuri!F34=Kelpoisuusehdot!A32,1.5,IF(Luontolaskuri!F34=Kelpoisuusehdot!A33,2,0)))))</f>
        <v>0</v>
      </c>
      <c r="H34" s="684"/>
      <c r="I34" s="697">
        <f>SUM(G33:G55)</f>
        <v>-2</v>
      </c>
      <c r="J34" s="685"/>
    </row>
    <row r="35" spans="1:11" ht="30" hidden="1" customHeight="1">
      <c r="A35" s="250"/>
      <c r="B35" s="250"/>
      <c r="C35" s="805" t="s">
        <v>375</v>
      </c>
      <c r="D35" s="806"/>
      <c r="E35" s="806"/>
      <c r="F35" s="692" t="b">
        <v>0</v>
      </c>
      <c r="G35" s="691">
        <f>IF(F35,1,0)</f>
        <v>0</v>
      </c>
      <c r="H35" s="684"/>
      <c r="I35" s="697" t="s">
        <v>391</v>
      </c>
      <c r="J35" s="685"/>
    </row>
    <row r="36" spans="1:11" ht="30" hidden="1" customHeight="1">
      <c r="A36" s="250"/>
      <c r="B36" s="250"/>
      <c r="C36" s="805" t="s">
        <v>376</v>
      </c>
      <c r="D36" s="806"/>
      <c r="E36" s="806"/>
      <c r="F36" s="692" t="b">
        <v>0</v>
      </c>
      <c r="G36" s="691">
        <f>IF(F36,1,0)</f>
        <v>0</v>
      </c>
      <c r="H36" s="684"/>
      <c r="I36" s="697">
        <v>18.5</v>
      </c>
      <c r="J36" s="685"/>
    </row>
    <row r="37" spans="1:11" ht="30" hidden="1" customHeight="1" thickBot="1">
      <c r="A37" s="250"/>
      <c r="B37" s="250"/>
      <c r="C37" s="805" t="s">
        <v>435</v>
      </c>
      <c r="D37" s="806"/>
      <c r="E37" s="806"/>
      <c r="F37" s="692" t="b">
        <v>0</v>
      </c>
      <c r="G37" s="691">
        <f>IF(F37,1,0)</f>
        <v>0</v>
      </c>
      <c r="H37" s="684"/>
      <c r="I37" s="686"/>
      <c r="J37" s="685"/>
      <c r="K37" s="250"/>
    </row>
    <row r="38" spans="1:11" ht="30" hidden="1" customHeight="1" thickBot="1">
      <c r="A38" s="250"/>
      <c r="B38" s="250"/>
      <c r="C38" s="811" t="s">
        <v>481</v>
      </c>
      <c r="D38" s="812"/>
      <c r="E38" s="812"/>
      <c r="F38" s="693" t="b">
        <v>0</v>
      </c>
      <c r="G38" s="694">
        <f>IF(F38,1,0)</f>
        <v>0</v>
      </c>
      <c r="H38" s="684"/>
      <c r="I38" s="377" t="s">
        <v>402</v>
      </c>
      <c r="J38" s="685"/>
      <c r="K38" s="250"/>
    </row>
    <row r="39" spans="1:11" ht="30" hidden="1" customHeight="1">
      <c r="A39" s="250"/>
      <c r="B39" s="250"/>
      <c r="C39" s="809" t="s">
        <v>590</v>
      </c>
      <c r="D39" s="810"/>
      <c r="E39" s="810"/>
      <c r="F39" s="695" t="b">
        <v>0</v>
      </c>
      <c r="G39" s="690">
        <f>IF(F39,0,-2)</f>
        <v>-2</v>
      </c>
      <c r="H39" s="684"/>
      <c r="I39" s="696" t="str">
        <f>IF(I34&lt;=0,I45,I40)</f>
        <v>Viherelementtien ratkaisuista voi olla haittaa luonnon monimuotoisuudelle</v>
      </c>
      <c r="J39" s="685"/>
    </row>
    <row r="40" spans="1:11" ht="30" hidden="1" customHeight="1">
      <c r="A40" s="250"/>
      <c r="B40" s="250"/>
      <c r="C40" s="805" t="s">
        <v>394</v>
      </c>
      <c r="D40" s="806"/>
      <c r="E40" s="806"/>
      <c r="F40" s="714" t="b">
        <v>0</v>
      </c>
      <c r="G40" s="691">
        <f>IF(F40,1,0)</f>
        <v>0</v>
      </c>
      <c r="H40" s="684"/>
      <c r="I40" s="697" t="str">
        <f>IF(I34&lt;=4,I46,I41)</f>
        <v>Viherelementtien ratkaisut eivät tue luonnon monimuotoisuutta</v>
      </c>
      <c r="J40" s="685"/>
    </row>
    <row r="41" spans="1:11" ht="30" hidden="1" customHeight="1">
      <c r="A41" s="250"/>
      <c r="B41" s="250"/>
      <c r="C41" s="805" t="s">
        <v>387</v>
      </c>
      <c r="D41" s="806"/>
      <c r="E41" s="806"/>
      <c r="F41" s="692" t="b">
        <v>0</v>
      </c>
      <c r="G41" s="691">
        <f>IF(F41,1,0)</f>
        <v>0</v>
      </c>
      <c r="H41" s="684"/>
      <c r="I41" s="697" t="str">
        <f>IF(I34&lt;=8,I47,I42)</f>
        <v>Viherelementtien ratkaisut tukevat luonnon monimuotoisuutta</v>
      </c>
      <c r="J41" s="685"/>
    </row>
    <row r="42" spans="1:11" ht="30" hidden="1" customHeight="1">
      <c r="A42" s="250"/>
      <c r="B42" s="250"/>
      <c r="C42" s="805" t="s">
        <v>388</v>
      </c>
      <c r="D42" s="806"/>
      <c r="E42" s="806"/>
      <c r="F42" s="692" t="b">
        <v>0</v>
      </c>
      <c r="G42" s="691">
        <f>IF(F42,1,0)</f>
        <v>0</v>
      </c>
      <c r="H42" s="684"/>
      <c r="I42" s="697" t="str">
        <f>IF(I34&gt;8,I48,"Laskuvirhe!")</f>
        <v>Laskuvirhe!</v>
      </c>
      <c r="J42" s="685"/>
    </row>
    <row r="43" spans="1:11" ht="30" hidden="1" customHeight="1" thickBot="1">
      <c r="A43" s="250"/>
      <c r="B43" s="250"/>
      <c r="C43" s="805" t="s">
        <v>477</v>
      </c>
      <c r="D43" s="806"/>
      <c r="E43" s="806"/>
      <c r="F43" s="692" t="b">
        <v>0</v>
      </c>
      <c r="G43" s="691">
        <f>IF(F43,1,0)</f>
        <v>0</v>
      </c>
      <c r="H43" s="684"/>
      <c r="I43" s="684"/>
      <c r="J43" s="685"/>
    </row>
    <row r="44" spans="1:11" ht="30" hidden="1" customHeight="1" thickBot="1">
      <c r="A44" s="250"/>
      <c r="B44" s="250"/>
      <c r="C44" s="803" t="s">
        <v>407</v>
      </c>
      <c r="D44" s="804"/>
      <c r="E44" s="804"/>
      <c r="F44" s="693" t="b">
        <v>0</v>
      </c>
      <c r="G44" s="694">
        <f>IF(F44,1,0)</f>
        <v>0</v>
      </c>
      <c r="H44" s="684"/>
      <c r="I44" s="377" t="s">
        <v>399</v>
      </c>
      <c r="J44" s="685"/>
    </row>
    <row r="45" spans="1:11" ht="30" hidden="1" customHeight="1">
      <c r="A45" s="250"/>
      <c r="B45" s="250"/>
      <c r="C45" s="809" t="s">
        <v>436</v>
      </c>
      <c r="D45" s="810"/>
      <c r="E45" s="810"/>
      <c r="F45" s="695" t="b">
        <v>0</v>
      </c>
      <c r="G45" s="690">
        <f t="shared" ref="G45:G47" si="1">IF(F45,0.5,0)</f>
        <v>0</v>
      </c>
      <c r="H45" s="684"/>
      <c r="I45" s="696" t="s">
        <v>437</v>
      </c>
      <c r="J45" s="685"/>
      <c r="K45" s="251"/>
    </row>
    <row r="46" spans="1:11" ht="30" hidden="1" customHeight="1">
      <c r="A46" s="250"/>
      <c r="B46" s="250"/>
      <c r="C46" s="805" t="s">
        <v>378</v>
      </c>
      <c r="D46" s="806"/>
      <c r="E46" s="806"/>
      <c r="F46" s="692" t="b">
        <v>0</v>
      </c>
      <c r="G46" s="691">
        <f t="shared" si="1"/>
        <v>0</v>
      </c>
      <c r="H46" s="684"/>
      <c r="I46" s="697" t="s">
        <v>425</v>
      </c>
      <c r="J46" s="685"/>
    </row>
    <row r="47" spans="1:11" ht="30" hidden="1" customHeight="1">
      <c r="A47" s="250"/>
      <c r="B47" s="250"/>
      <c r="C47" s="805" t="s">
        <v>379</v>
      </c>
      <c r="D47" s="806"/>
      <c r="E47" s="806"/>
      <c r="F47" s="692" t="b">
        <v>0</v>
      </c>
      <c r="G47" s="691">
        <f t="shared" si="1"/>
        <v>0</v>
      </c>
      <c r="H47" s="684"/>
      <c r="I47" s="697" t="s">
        <v>426</v>
      </c>
      <c r="J47" s="685"/>
    </row>
    <row r="48" spans="1:11" ht="30" hidden="1" customHeight="1">
      <c r="A48" s="250"/>
      <c r="B48" s="250"/>
      <c r="C48" s="808" t="s">
        <v>478</v>
      </c>
      <c r="D48" s="807" t="s">
        <v>482</v>
      </c>
      <c r="E48" s="807"/>
      <c r="F48" s="692" t="b">
        <v>0</v>
      </c>
      <c r="G48" s="801">
        <f>IF(COUNTIF(F48:F51,TRUE)=1,0.5,0)+IF(COUNTIF(F48:F51,TRUE)&gt;=2,1,0)</f>
        <v>0</v>
      </c>
      <c r="H48" s="684"/>
      <c r="I48" s="697" t="s">
        <v>427</v>
      </c>
      <c r="J48" s="685"/>
    </row>
    <row r="49" spans="1:11" ht="30" hidden="1" customHeight="1" thickBot="1">
      <c r="A49" s="250"/>
      <c r="B49" s="250"/>
      <c r="C49" s="808"/>
      <c r="D49" s="807" t="s">
        <v>483</v>
      </c>
      <c r="E49" s="807"/>
      <c r="F49" s="692" t="b">
        <v>0</v>
      </c>
      <c r="G49" s="801"/>
      <c r="H49" s="684"/>
      <c r="I49" s="684"/>
      <c r="J49" s="685"/>
    </row>
    <row r="50" spans="1:11" ht="30" hidden="1" customHeight="1" thickBot="1">
      <c r="A50" s="250"/>
      <c r="B50" s="250"/>
      <c r="C50" s="808"/>
      <c r="D50" s="807" t="s">
        <v>484</v>
      </c>
      <c r="E50" s="807"/>
      <c r="F50" s="692" t="b">
        <v>0</v>
      </c>
      <c r="G50" s="801"/>
      <c r="H50" s="684"/>
      <c r="I50" s="378" t="s">
        <v>401</v>
      </c>
      <c r="J50" s="685"/>
    </row>
    <row r="51" spans="1:11" ht="30" hidden="1" customHeight="1">
      <c r="A51" s="250"/>
      <c r="B51" s="250"/>
      <c r="C51" s="808"/>
      <c r="D51" s="807" t="s">
        <v>485</v>
      </c>
      <c r="E51" s="807"/>
      <c r="F51" s="692" t="b">
        <v>0</v>
      </c>
      <c r="G51" s="801"/>
      <c r="H51" s="684"/>
      <c r="I51" s="696" t="str">
        <f>IF(G39=-2,"Suunnitelmassa vieraslajeja jää tontille/kortteliin!"," ")</f>
        <v>Suunnitelmassa vieraslajeja jää tontille/kortteliin!</v>
      </c>
      <c r="J51" s="685"/>
    </row>
    <row r="52" spans="1:11" ht="30" hidden="1" customHeight="1" thickBot="1">
      <c r="A52" s="250"/>
      <c r="B52" s="250"/>
      <c r="C52" s="805" t="s">
        <v>404</v>
      </c>
      <c r="D52" s="806"/>
      <c r="E52" s="806"/>
      <c r="F52" s="692" t="b">
        <v>0</v>
      </c>
      <c r="G52" s="691">
        <f>IF(F52,0.5,0)</f>
        <v>0</v>
      </c>
      <c r="H52" s="684"/>
      <c r="J52" s="685"/>
    </row>
    <row r="53" spans="1:11" ht="30" hidden="1" customHeight="1">
      <c r="A53" s="250"/>
      <c r="B53" s="250"/>
      <c r="C53" s="809" t="s">
        <v>381</v>
      </c>
      <c r="D53" s="810"/>
      <c r="E53" s="810"/>
      <c r="F53" s="695" t="b">
        <v>0</v>
      </c>
      <c r="G53" s="690">
        <f>IF(F53,0.5,0)</f>
        <v>0</v>
      </c>
      <c r="H53" s="684"/>
      <c r="I53" s="685"/>
      <c r="J53" s="684"/>
      <c r="K53" s="251"/>
    </row>
    <row r="54" spans="1:11" ht="30" hidden="1" customHeight="1">
      <c r="A54" s="250"/>
      <c r="B54" s="250"/>
      <c r="C54" s="805" t="s">
        <v>380</v>
      </c>
      <c r="D54" s="806"/>
      <c r="E54" s="806"/>
      <c r="F54" s="692" t="b">
        <v>0</v>
      </c>
      <c r="G54" s="691">
        <f>IF(F54,0.5,0)</f>
        <v>0</v>
      </c>
      <c r="H54" s="684"/>
      <c r="I54" s="685"/>
      <c r="J54" s="684"/>
      <c r="K54" s="251"/>
    </row>
    <row r="55" spans="1:11" ht="30" hidden="1" customHeight="1" thickBot="1">
      <c r="A55" s="250"/>
      <c r="B55" s="250"/>
      <c r="C55" s="803" t="s">
        <v>382</v>
      </c>
      <c r="D55" s="804"/>
      <c r="E55" s="804"/>
      <c r="F55" s="693" t="b">
        <v>0</v>
      </c>
      <c r="G55" s="694">
        <f>IF(F55,0.5,0)</f>
        <v>0</v>
      </c>
      <c r="H55" s="684"/>
      <c r="I55" s="685"/>
      <c r="J55" s="684"/>
      <c r="K55" s="251"/>
    </row>
    <row r="56" spans="1:11" ht="30" customHeight="1">
      <c r="A56" s="250"/>
      <c r="B56" s="250"/>
      <c r="C56" s="685"/>
      <c r="D56" s="685"/>
      <c r="E56" s="685"/>
      <c r="F56" s="685"/>
      <c r="G56" s="685"/>
      <c r="H56" s="684"/>
      <c r="I56" s="685"/>
      <c r="J56" s="684"/>
      <c r="K56" s="251"/>
    </row>
    <row r="57" spans="1:11" ht="30" customHeight="1">
      <c r="C57" s="685"/>
      <c r="D57" s="685"/>
      <c r="E57" s="685"/>
      <c r="F57" s="685"/>
      <c r="G57" s="685"/>
      <c r="H57" s="685"/>
      <c r="I57" s="685"/>
      <c r="J57" s="685"/>
    </row>
    <row r="58" spans="1:11" ht="30" customHeight="1">
      <c r="C58" s="685"/>
      <c r="D58" s="685"/>
      <c r="E58" s="685"/>
      <c r="F58" s="685"/>
      <c r="G58" s="685"/>
      <c r="H58" s="684"/>
      <c r="I58" s="687"/>
      <c r="J58" s="685"/>
      <c r="K58" s="252"/>
    </row>
    <row r="59" spans="1:11" ht="30" customHeight="1">
      <c r="H59" s="251"/>
      <c r="I59" s="252"/>
      <c r="K59" s="252"/>
    </row>
    <row r="60" spans="1:11" ht="30" customHeight="1">
      <c r="H60" s="251"/>
      <c r="I60" s="252"/>
      <c r="K60" s="252"/>
    </row>
    <row r="61" spans="1:11" ht="30" customHeight="1">
      <c r="H61" s="251"/>
      <c r="I61" s="252"/>
      <c r="K61" s="252"/>
    </row>
    <row r="62" spans="1:11" ht="30" customHeight="1"/>
    <row r="63" spans="1:11" ht="30" customHeight="1"/>
    <row r="64" spans="1:11" ht="30" customHeight="1"/>
    <row r="65" ht="30" customHeight="1"/>
    <row r="66" ht="30" customHeight="1"/>
    <row r="67" ht="30" customHeight="1"/>
    <row r="68" ht="30" customHeight="1"/>
  </sheetData>
  <sheetProtection algorithmName="SHA-512" hashValue="uMgcptkIxVWJeSRAZCcHurAQ9CfdfqpOmjKBh/s9C0FhGniQVZrLjTrZufDSZPayRfUSiyQsSggPrTkHMYmIeQ==" saltValue="B2zkGUzB6MGUDNdKurjRsQ==" spinCount="100000" sheet="1" objects="1" scenarios="1"/>
  <mergeCells count="58">
    <mergeCell ref="B2:G2"/>
    <mergeCell ref="C25:E25"/>
    <mergeCell ref="C20:E20"/>
    <mergeCell ref="C19:E19"/>
    <mergeCell ref="C18:E18"/>
    <mergeCell ref="C7:D7"/>
    <mergeCell ref="C8:D8"/>
    <mergeCell ref="C9:D9"/>
    <mergeCell ref="C11:D11"/>
    <mergeCell ref="C13:D13"/>
    <mergeCell ref="C14:D14"/>
    <mergeCell ref="C15:D15"/>
    <mergeCell ref="C16:D16"/>
    <mergeCell ref="C21:C24"/>
    <mergeCell ref="D21:E21"/>
    <mergeCell ref="B27:B28"/>
    <mergeCell ref="C29:E29"/>
    <mergeCell ref="B18:B21"/>
    <mergeCell ref="I7:I8"/>
    <mergeCell ref="G21:G24"/>
    <mergeCell ref="B24:B25"/>
    <mergeCell ref="I3:I4"/>
    <mergeCell ref="B11:B14"/>
    <mergeCell ref="B15:B16"/>
    <mergeCell ref="B4:B6"/>
    <mergeCell ref="C4:D4"/>
    <mergeCell ref="C5:D5"/>
    <mergeCell ref="C6:D6"/>
    <mergeCell ref="B8:B9"/>
    <mergeCell ref="C12:D12"/>
    <mergeCell ref="C33:E33"/>
    <mergeCell ref="C34:E34"/>
    <mergeCell ref="C35:E35"/>
    <mergeCell ref="C27:D27"/>
    <mergeCell ref="C28:D28"/>
    <mergeCell ref="C46:E46"/>
    <mergeCell ref="C36:E36"/>
    <mergeCell ref="C37:E37"/>
    <mergeCell ref="C38:E38"/>
    <mergeCell ref="C39:E39"/>
    <mergeCell ref="C41:E41"/>
    <mergeCell ref="C40:E40"/>
    <mergeCell ref="G48:G51"/>
    <mergeCell ref="H22:H23"/>
    <mergeCell ref="C55:E55"/>
    <mergeCell ref="C54:E54"/>
    <mergeCell ref="D48:E48"/>
    <mergeCell ref="D49:E49"/>
    <mergeCell ref="D50:E50"/>
    <mergeCell ref="D51:E51"/>
    <mergeCell ref="C47:E47"/>
    <mergeCell ref="C48:C51"/>
    <mergeCell ref="C52:E52"/>
    <mergeCell ref="C53:E53"/>
    <mergeCell ref="C42:E42"/>
    <mergeCell ref="C43:E43"/>
    <mergeCell ref="C44:E44"/>
    <mergeCell ref="C45:E45"/>
  </mergeCells>
  <conditionalFormatting sqref="I3">
    <cfRule type="cellIs" dxfId="19" priority="35" stopIfTrue="1" operator="equal">
      <formula>$I$48</formula>
    </cfRule>
    <cfRule type="cellIs" dxfId="18" priority="36" stopIfTrue="1" operator="equal">
      <formula>$I$47</formula>
    </cfRule>
    <cfRule type="cellIs" dxfId="17" priority="37" stopIfTrue="1" operator="equal">
      <formula>$I$46</formula>
    </cfRule>
    <cfRule type="cellIs" dxfId="16" priority="38" stopIfTrue="1" operator="equal">
      <formula>$I$45</formula>
    </cfRule>
  </conditionalFormatting>
  <conditionalFormatting sqref="I7">
    <cfRule type="expression" dxfId="15" priority="1">
      <formula>$G$39=-2</formula>
    </cfRule>
  </conditionalFormatting>
  <dataValidations disablePrompts="1" count="3">
    <dataValidation allowBlank="1" showErrorMessage="1" sqref="C5 C13:C16 C8:C9 C28" xr:uid="{4EA32CFE-5BD0-114B-9F08-BF1335038830}"/>
    <dataValidation allowBlank="1" showErrorMessage="1" prompt="_x000a__x000a_" sqref="C27 E27" xr:uid="{1CD4029B-92A4-9147-B9B0-7818C5C081CC}"/>
    <dataValidation allowBlank="1" showErrorMessage="1" prompt="_x000a_" sqref="E28" xr:uid="{E596F9C8-534C-2E40-9EB1-26811F492B1A}"/>
  </dataValidations>
  <hyperlinks>
    <hyperlink ref="I29" location="Tulokset!A1" display="Seuraava" xr:uid="{4FE73EEB-9C21-9A40-9F90-13AB9E5AB71F}"/>
    <hyperlink ref="E4" location="'Luontolaskurin lisätiedot'!C3" display="i" xr:uid="{C9304F90-96AF-0E4A-BE7F-C6EC6B27B43E}"/>
    <hyperlink ref="E5" location="'Luontolaskurin lisätiedot'!C4" display="i" xr:uid="{19DD3C45-0AEE-E44C-A864-932AD94E51D7}"/>
    <hyperlink ref="E6" location="'Luontolaskurin lisätiedot'!C5" display="i" xr:uid="{202277B2-BDBB-5442-BF1B-D626CC7E9CB3}"/>
    <hyperlink ref="E7" location="'Luontolaskurin lisätiedot'!C6" display="i" xr:uid="{9237A0F7-9D28-E145-808F-D7C359941FA8}"/>
    <hyperlink ref="E8" location="'Luontolaskurin lisätiedot'!C7" display="i" xr:uid="{A4B6ED9D-CF2A-EF40-8EA4-EAED29C9DFCC}"/>
    <hyperlink ref="E11" location="'Luontolaskurin lisätiedot'!C10" display="i" xr:uid="{2453A718-84AB-6145-AEE8-8D2AED98CDEE}"/>
    <hyperlink ref="E13:E15" location="'Luontolaskurin lisätiedot'!C9" display="i" xr:uid="{6484B661-9F78-7D4A-B44D-F696702A1E2A}"/>
    <hyperlink ref="E16" location="'Luontolaskurin lisätiedot'!C15" display="i" xr:uid="{6CE58D0E-B114-BC47-B228-FF0A81C80268}"/>
    <hyperlink ref="E27:E28" location="'Luontolaskurin lisätiedot'!C12" display="i" xr:uid="{E841CB13-D7EA-CB44-9E6F-24885ABFD878}"/>
    <hyperlink ref="E13" location="'Luontolaskurin lisätiedot'!C12" display="i" xr:uid="{49DC22E8-F16D-454D-8A81-C450DA4C2D24}"/>
    <hyperlink ref="E14" location="'Luontolaskurin lisätiedot'!C12" display="i" xr:uid="{3EA9DE7C-4303-014B-93D1-E9544BA3BF05}"/>
    <hyperlink ref="E15" location="'Luontolaskurin lisätiedot'!C12" display="i" xr:uid="{6362B64B-F062-9D40-92E8-C836ECF73BCE}"/>
    <hyperlink ref="E28" location="'Luontolaskurin lisätiedot'!C20" display="i" xr:uid="{DB46E900-2F80-B64C-85FA-59B59FAED18B}"/>
    <hyperlink ref="E27" location="'Luontolaskurin lisätiedot'!C20" display="i" xr:uid="{EF7730EC-33C5-2D47-A769-C50C312A0624}"/>
    <hyperlink ref="E9" location="'Luontolaskurin lisätiedot'!C8" display="i" xr:uid="{4151A6EC-D0D9-5A4E-90AF-18ED6B84B783}"/>
    <hyperlink ref="E12" location="'Luontolaskurin lisätiedot'!C11" display="i" xr:uid="{68DDD81F-3E1B-0646-B87B-FCBED654DD53}"/>
    <hyperlink ref="E22" location="'Luontolaskurin lisätiedot'!C17" display="i" xr:uid="{845B4273-DE95-5C4C-BA6B-628C6FE0D685}"/>
    <hyperlink ref="E23" location="'Luontolaskurin lisätiedot'!C18" display="i" xr:uid="{D1787D15-4C9D-C44A-8646-F0BA2666B04C}"/>
    <hyperlink ref="E24" location="'Luontolaskurin lisätiedot'!C18" display="i" xr:uid="{F187AAAE-80C8-EC49-9E6C-3BE96AE1D5E7}"/>
  </hyperlinks>
  <pageMargins left="0.7" right="0.7" top="0.75" bottom="0.75" header="0.3" footer="0.3"/>
  <pageSetup paperSize="9" orientation="portrait" horizontalDpi="0" verticalDpi="0"/>
  <drawing r:id="rId1"/>
  <legacyDrawing r:id="rId2"/>
  <mc:AlternateContent xmlns:mc="http://schemas.openxmlformats.org/markup-compatibility/2006">
    <mc:Choice Requires="x14">
      <controls>
        <mc:AlternateContent xmlns:mc="http://schemas.openxmlformats.org/markup-compatibility/2006">
          <mc:Choice Requires="x14">
            <control shapeId="21532" r:id="rId3" name="Check Box 28">
              <controlPr defaultSize="0" autoFill="0" autoLine="0" autoPict="0">
                <anchor moveWithCells="1">
                  <from>
                    <xdr:col>5</xdr:col>
                    <xdr:colOff>469900</xdr:colOff>
                    <xdr:row>17</xdr:row>
                    <xdr:rowOff>368300</xdr:rowOff>
                  </from>
                  <to>
                    <xdr:col>6</xdr:col>
                    <xdr:colOff>0</xdr:colOff>
                    <xdr:row>18</xdr:row>
                    <xdr:rowOff>368300</xdr:rowOff>
                  </to>
                </anchor>
              </controlPr>
            </control>
          </mc:Choice>
        </mc:AlternateContent>
        <mc:AlternateContent xmlns:mc="http://schemas.openxmlformats.org/markup-compatibility/2006">
          <mc:Choice Requires="x14">
            <control shapeId="21535" r:id="rId4" name="Check Box 31">
              <controlPr defaultSize="0" autoFill="0" autoLine="0" autoPict="0">
                <anchor moveWithCells="1">
                  <from>
                    <xdr:col>5</xdr:col>
                    <xdr:colOff>469900</xdr:colOff>
                    <xdr:row>16</xdr:row>
                    <xdr:rowOff>368300</xdr:rowOff>
                  </from>
                  <to>
                    <xdr:col>6</xdr:col>
                    <xdr:colOff>0</xdr:colOff>
                    <xdr:row>17</xdr:row>
                    <xdr:rowOff>368300</xdr:rowOff>
                  </to>
                </anchor>
              </controlPr>
            </control>
          </mc:Choice>
        </mc:AlternateContent>
        <mc:AlternateContent xmlns:mc="http://schemas.openxmlformats.org/markup-compatibility/2006">
          <mc:Choice Requires="x14">
            <control shapeId="21537" r:id="rId5" name="Check Box 33">
              <controlPr defaultSize="0" autoFill="0" autoLine="0" autoPict="0">
                <anchor moveWithCells="1">
                  <from>
                    <xdr:col>5</xdr:col>
                    <xdr:colOff>469900</xdr:colOff>
                    <xdr:row>19</xdr:row>
                    <xdr:rowOff>12700</xdr:rowOff>
                  </from>
                  <to>
                    <xdr:col>6</xdr:col>
                    <xdr:colOff>0</xdr:colOff>
                    <xdr:row>20</xdr:row>
                    <xdr:rowOff>12700</xdr:rowOff>
                  </to>
                </anchor>
              </controlPr>
            </control>
          </mc:Choice>
        </mc:AlternateContent>
        <mc:AlternateContent xmlns:mc="http://schemas.openxmlformats.org/markup-compatibility/2006">
          <mc:Choice Requires="x14">
            <control shapeId="21538" r:id="rId6" name="Check Box 34">
              <controlPr defaultSize="0" autoFill="0" autoLine="0" autoPict="0">
                <anchor moveWithCells="1">
                  <from>
                    <xdr:col>5</xdr:col>
                    <xdr:colOff>469900</xdr:colOff>
                    <xdr:row>26</xdr:row>
                    <xdr:rowOff>0</xdr:rowOff>
                  </from>
                  <to>
                    <xdr:col>6</xdr:col>
                    <xdr:colOff>0</xdr:colOff>
                    <xdr:row>27</xdr:row>
                    <xdr:rowOff>0</xdr:rowOff>
                  </to>
                </anchor>
              </controlPr>
            </control>
          </mc:Choice>
        </mc:AlternateContent>
        <mc:AlternateContent xmlns:mc="http://schemas.openxmlformats.org/markup-compatibility/2006">
          <mc:Choice Requires="x14">
            <control shapeId="21539" r:id="rId7" name="Check Box 35">
              <controlPr defaultSize="0" autoFill="0" autoLine="0" autoPict="0">
                <anchor moveWithCells="1">
                  <from>
                    <xdr:col>5</xdr:col>
                    <xdr:colOff>469900</xdr:colOff>
                    <xdr:row>27</xdr:row>
                    <xdr:rowOff>368300</xdr:rowOff>
                  </from>
                  <to>
                    <xdr:col>6</xdr:col>
                    <xdr:colOff>0</xdr:colOff>
                    <xdr:row>28</xdr:row>
                    <xdr:rowOff>368300</xdr:rowOff>
                  </to>
                </anchor>
              </controlPr>
            </control>
          </mc:Choice>
        </mc:AlternateContent>
        <mc:AlternateContent xmlns:mc="http://schemas.openxmlformats.org/markup-compatibility/2006">
          <mc:Choice Requires="x14">
            <control shapeId="21540" r:id="rId8" name="Check Box 36">
              <controlPr defaultSize="0" autoFill="0" autoLine="0" autoPict="0">
                <anchor moveWithCells="1">
                  <from>
                    <xdr:col>5</xdr:col>
                    <xdr:colOff>469900</xdr:colOff>
                    <xdr:row>26</xdr:row>
                    <xdr:rowOff>368300</xdr:rowOff>
                  </from>
                  <to>
                    <xdr:col>6</xdr:col>
                    <xdr:colOff>0</xdr:colOff>
                    <xdr:row>27</xdr:row>
                    <xdr:rowOff>368300</xdr:rowOff>
                  </to>
                </anchor>
              </controlPr>
            </control>
          </mc:Choice>
        </mc:AlternateContent>
        <mc:AlternateContent xmlns:mc="http://schemas.openxmlformats.org/markup-compatibility/2006">
          <mc:Choice Requires="x14">
            <control shapeId="21545" r:id="rId9" name="Check Box 41">
              <controlPr defaultSize="0" autoFill="0" autoLine="0" autoPict="0">
                <anchor moveWithCells="1">
                  <from>
                    <xdr:col>5</xdr:col>
                    <xdr:colOff>469900</xdr:colOff>
                    <xdr:row>5</xdr:row>
                    <xdr:rowOff>355600</xdr:rowOff>
                  </from>
                  <to>
                    <xdr:col>6</xdr:col>
                    <xdr:colOff>0</xdr:colOff>
                    <xdr:row>6</xdr:row>
                    <xdr:rowOff>355600</xdr:rowOff>
                  </to>
                </anchor>
              </controlPr>
            </control>
          </mc:Choice>
        </mc:AlternateContent>
        <mc:AlternateContent xmlns:mc="http://schemas.openxmlformats.org/markup-compatibility/2006">
          <mc:Choice Requires="x14">
            <control shapeId="21546" r:id="rId10" name="Check Box 42">
              <controlPr defaultSize="0" autoFill="0" autoLine="0" autoPict="0">
                <anchor moveWithCells="1">
                  <from>
                    <xdr:col>5</xdr:col>
                    <xdr:colOff>469900</xdr:colOff>
                    <xdr:row>5</xdr:row>
                    <xdr:rowOff>0</xdr:rowOff>
                  </from>
                  <to>
                    <xdr:col>6</xdr:col>
                    <xdr:colOff>0</xdr:colOff>
                    <xdr:row>6</xdr:row>
                    <xdr:rowOff>0</xdr:rowOff>
                  </to>
                </anchor>
              </controlPr>
            </control>
          </mc:Choice>
        </mc:AlternateContent>
        <mc:AlternateContent xmlns:mc="http://schemas.openxmlformats.org/markup-compatibility/2006">
          <mc:Choice Requires="x14">
            <control shapeId="21548" r:id="rId11" name="Check Box 44">
              <controlPr defaultSize="0" autoFill="0" autoLine="0" autoPict="0">
                <anchor moveWithCells="1">
                  <from>
                    <xdr:col>5</xdr:col>
                    <xdr:colOff>469900</xdr:colOff>
                    <xdr:row>12</xdr:row>
                    <xdr:rowOff>12700</xdr:rowOff>
                  </from>
                  <to>
                    <xdr:col>6</xdr:col>
                    <xdr:colOff>0</xdr:colOff>
                    <xdr:row>13</xdr:row>
                    <xdr:rowOff>12700</xdr:rowOff>
                  </to>
                </anchor>
              </controlPr>
            </control>
          </mc:Choice>
        </mc:AlternateContent>
        <mc:AlternateContent xmlns:mc="http://schemas.openxmlformats.org/markup-compatibility/2006">
          <mc:Choice Requires="x14">
            <control shapeId="21550" r:id="rId12" name="Check Box 46">
              <controlPr defaultSize="0" autoFill="0" autoLine="0" autoPict="0">
                <anchor moveWithCells="1">
                  <from>
                    <xdr:col>5</xdr:col>
                    <xdr:colOff>469900</xdr:colOff>
                    <xdr:row>12</xdr:row>
                    <xdr:rowOff>368300</xdr:rowOff>
                  </from>
                  <to>
                    <xdr:col>6</xdr:col>
                    <xdr:colOff>0</xdr:colOff>
                    <xdr:row>13</xdr:row>
                    <xdr:rowOff>368300</xdr:rowOff>
                  </to>
                </anchor>
              </controlPr>
            </control>
          </mc:Choice>
        </mc:AlternateContent>
        <mc:AlternateContent xmlns:mc="http://schemas.openxmlformats.org/markup-compatibility/2006">
          <mc:Choice Requires="x14">
            <control shapeId="21551" r:id="rId13" name="Check Box 47">
              <controlPr defaultSize="0" autoFill="0" autoLine="0" autoPict="0">
                <anchor moveWithCells="1">
                  <from>
                    <xdr:col>5</xdr:col>
                    <xdr:colOff>469900</xdr:colOff>
                    <xdr:row>13</xdr:row>
                    <xdr:rowOff>368300</xdr:rowOff>
                  </from>
                  <to>
                    <xdr:col>6</xdr:col>
                    <xdr:colOff>0</xdr:colOff>
                    <xdr:row>14</xdr:row>
                    <xdr:rowOff>368300</xdr:rowOff>
                  </to>
                </anchor>
              </controlPr>
            </control>
          </mc:Choice>
        </mc:AlternateContent>
        <mc:AlternateContent xmlns:mc="http://schemas.openxmlformats.org/markup-compatibility/2006">
          <mc:Choice Requires="x14">
            <control shapeId="21552" r:id="rId14" name="Check Box 48">
              <controlPr defaultSize="0" autoFill="0" autoLine="0" autoPict="0">
                <anchor moveWithCells="1">
                  <from>
                    <xdr:col>5</xdr:col>
                    <xdr:colOff>469900</xdr:colOff>
                    <xdr:row>14</xdr:row>
                    <xdr:rowOff>368300</xdr:rowOff>
                  </from>
                  <to>
                    <xdr:col>6</xdr:col>
                    <xdr:colOff>0</xdr:colOff>
                    <xdr:row>15</xdr:row>
                    <xdr:rowOff>368300</xdr:rowOff>
                  </to>
                </anchor>
              </controlPr>
            </control>
          </mc:Choice>
        </mc:AlternateContent>
        <mc:AlternateContent xmlns:mc="http://schemas.openxmlformats.org/markup-compatibility/2006">
          <mc:Choice Requires="x14">
            <control shapeId="21553" r:id="rId15" name="Check Box 49">
              <controlPr defaultSize="0" autoFill="0" autoLine="0" autoPict="0">
                <anchor moveWithCells="1">
                  <from>
                    <xdr:col>5</xdr:col>
                    <xdr:colOff>469900</xdr:colOff>
                    <xdr:row>10</xdr:row>
                    <xdr:rowOff>0</xdr:rowOff>
                  </from>
                  <to>
                    <xdr:col>6</xdr:col>
                    <xdr:colOff>0</xdr:colOff>
                    <xdr:row>11</xdr:row>
                    <xdr:rowOff>0</xdr:rowOff>
                  </to>
                </anchor>
              </controlPr>
            </control>
          </mc:Choice>
        </mc:AlternateContent>
        <mc:AlternateContent xmlns:mc="http://schemas.openxmlformats.org/markup-compatibility/2006">
          <mc:Choice Requires="x14">
            <control shapeId="21557" r:id="rId16" name="Check Box 53">
              <controlPr defaultSize="0" autoFill="0" autoLine="0" autoPict="0">
                <anchor moveWithCells="1">
                  <from>
                    <xdr:col>5</xdr:col>
                    <xdr:colOff>469900</xdr:colOff>
                    <xdr:row>6</xdr:row>
                    <xdr:rowOff>381000</xdr:rowOff>
                  </from>
                  <to>
                    <xdr:col>5</xdr:col>
                    <xdr:colOff>1193800</xdr:colOff>
                    <xdr:row>8</xdr:row>
                    <xdr:rowOff>0</xdr:rowOff>
                  </to>
                </anchor>
              </controlPr>
            </control>
          </mc:Choice>
        </mc:AlternateContent>
        <mc:AlternateContent xmlns:mc="http://schemas.openxmlformats.org/markup-compatibility/2006">
          <mc:Choice Requires="x14">
            <control shapeId="21570" r:id="rId17" name="Check Box 66">
              <controlPr defaultSize="0" autoFill="0" autoLine="0" autoPict="0">
                <anchor moveWithCells="1">
                  <from>
                    <xdr:col>5</xdr:col>
                    <xdr:colOff>469900</xdr:colOff>
                    <xdr:row>24</xdr:row>
                    <xdr:rowOff>0</xdr:rowOff>
                  </from>
                  <to>
                    <xdr:col>6</xdr:col>
                    <xdr:colOff>0</xdr:colOff>
                    <xdr:row>25</xdr:row>
                    <xdr:rowOff>0</xdr:rowOff>
                  </to>
                </anchor>
              </controlPr>
            </control>
          </mc:Choice>
        </mc:AlternateContent>
        <mc:AlternateContent xmlns:mc="http://schemas.openxmlformats.org/markup-compatibility/2006">
          <mc:Choice Requires="x14">
            <control shapeId="21583" r:id="rId18" name="Check Box 79">
              <controlPr defaultSize="0" autoFill="0" autoLine="0" autoPict="0">
                <anchor moveWithCells="1">
                  <from>
                    <xdr:col>5</xdr:col>
                    <xdr:colOff>469900</xdr:colOff>
                    <xdr:row>7</xdr:row>
                    <xdr:rowOff>381000</xdr:rowOff>
                  </from>
                  <to>
                    <xdr:col>5</xdr:col>
                    <xdr:colOff>1193800</xdr:colOff>
                    <xdr:row>9</xdr:row>
                    <xdr:rowOff>0</xdr:rowOff>
                  </to>
                </anchor>
              </controlPr>
            </control>
          </mc:Choice>
        </mc:AlternateContent>
        <mc:AlternateContent xmlns:mc="http://schemas.openxmlformats.org/markup-compatibility/2006">
          <mc:Choice Requires="x14">
            <control shapeId="21595" r:id="rId19" name="Check Box 91">
              <controlPr defaultSize="0" autoFill="0" autoLine="0" autoPict="0">
                <anchor moveWithCells="1">
                  <from>
                    <xdr:col>5</xdr:col>
                    <xdr:colOff>469900</xdr:colOff>
                    <xdr:row>24</xdr:row>
                    <xdr:rowOff>0</xdr:rowOff>
                  </from>
                  <to>
                    <xdr:col>6</xdr:col>
                    <xdr:colOff>0</xdr:colOff>
                    <xdr:row>25</xdr:row>
                    <xdr:rowOff>0</xdr:rowOff>
                  </to>
                </anchor>
              </controlPr>
            </control>
          </mc:Choice>
        </mc:AlternateContent>
        <mc:AlternateContent xmlns:mc="http://schemas.openxmlformats.org/markup-compatibility/2006">
          <mc:Choice Requires="x14">
            <control shapeId="21596" r:id="rId20" name="Check Box 92">
              <controlPr defaultSize="0" autoFill="0" autoLine="0" autoPict="0">
                <anchor moveWithCells="1">
                  <from>
                    <xdr:col>5</xdr:col>
                    <xdr:colOff>469900</xdr:colOff>
                    <xdr:row>24</xdr:row>
                    <xdr:rowOff>0</xdr:rowOff>
                  </from>
                  <to>
                    <xdr:col>6</xdr:col>
                    <xdr:colOff>0</xdr:colOff>
                    <xdr:row>25</xdr:row>
                    <xdr:rowOff>0</xdr:rowOff>
                  </to>
                </anchor>
              </controlPr>
            </control>
          </mc:Choice>
        </mc:AlternateContent>
        <mc:AlternateContent xmlns:mc="http://schemas.openxmlformats.org/markup-compatibility/2006">
          <mc:Choice Requires="x14">
            <control shapeId="21599" r:id="rId21" name="Check Box 95">
              <controlPr defaultSize="0" autoFill="0" autoLine="0" autoPict="0">
                <anchor moveWithCells="1">
                  <from>
                    <xdr:col>5</xdr:col>
                    <xdr:colOff>469900</xdr:colOff>
                    <xdr:row>20</xdr:row>
                    <xdr:rowOff>12700</xdr:rowOff>
                  </from>
                  <to>
                    <xdr:col>6</xdr:col>
                    <xdr:colOff>0</xdr:colOff>
                    <xdr:row>21</xdr:row>
                    <xdr:rowOff>12700</xdr:rowOff>
                  </to>
                </anchor>
              </controlPr>
            </control>
          </mc:Choice>
        </mc:AlternateContent>
        <mc:AlternateContent xmlns:mc="http://schemas.openxmlformats.org/markup-compatibility/2006">
          <mc:Choice Requires="x14">
            <control shapeId="21600" r:id="rId22" name="Check Box 96">
              <controlPr defaultSize="0" autoFill="0" autoLine="0" autoPict="0">
                <anchor moveWithCells="1">
                  <from>
                    <xdr:col>5</xdr:col>
                    <xdr:colOff>469900</xdr:colOff>
                    <xdr:row>21</xdr:row>
                    <xdr:rowOff>12700</xdr:rowOff>
                  </from>
                  <to>
                    <xdr:col>6</xdr:col>
                    <xdr:colOff>0</xdr:colOff>
                    <xdr:row>22</xdr:row>
                    <xdr:rowOff>12700</xdr:rowOff>
                  </to>
                </anchor>
              </controlPr>
            </control>
          </mc:Choice>
        </mc:AlternateContent>
        <mc:AlternateContent xmlns:mc="http://schemas.openxmlformats.org/markup-compatibility/2006">
          <mc:Choice Requires="x14">
            <control shapeId="21601" r:id="rId23" name="Check Box 97">
              <controlPr defaultSize="0" autoFill="0" autoLine="0" autoPict="0">
                <anchor moveWithCells="1">
                  <from>
                    <xdr:col>5</xdr:col>
                    <xdr:colOff>469900</xdr:colOff>
                    <xdr:row>22</xdr:row>
                    <xdr:rowOff>12700</xdr:rowOff>
                  </from>
                  <to>
                    <xdr:col>6</xdr:col>
                    <xdr:colOff>0</xdr:colOff>
                    <xdr:row>23</xdr:row>
                    <xdr:rowOff>12700</xdr:rowOff>
                  </to>
                </anchor>
              </controlPr>
            </control>
          </mc:Choice>
        </mc:AlternateContent>
        <mc:AlternateContent xmlns:mc="http://schemas.openxmlformats.org/markup-compatibility/2006">
          <mc:Choice Requires="x14">
            <control shapeId="21602" r:id="rId24" name="Check Box 98">
              <controlPr defaultSize="0" autoFill="0" autoLine="0" autoPict="0">
                <anchor moveWithCells="1">
                  <from>
                    <xdr:col>5</xdr:col>
                    <xdr:colOff>469900</xdr:colOff>
                    <xdr:row>23</xdr:row>
                    <xdr:rowOff>12700</xdr:rowOff>
                  </from>
                  <to>
                    <xdr:col>6</xdr:col>
                    <xdr:colOff>0</xdr:colOff>
                    <xdr:row>24</xdr:row>
                    <xdr:rowOff>12700</xdr:rowOff>
                  </to>
                </anchor>
              </controlPr>
            </control>
          </mc:Choice>
        </mc:AlternateContent>
        <mc:AlternateContent xmlns:mc="http://schemas.openxmlformats.org/markup-compatibility/2006">
          <mc:Choice Requires="x14">
            <control shapeId="21603" r:id="rId25" name="Check Box 99">
              <controlPr defaultSize="0" autoFill="0" autoLine="0" autoPict="0">
                <anchor moveWithCells="1">
                  <from>
                    <xdr:col>5</xdr:col>
                    <xdr:colOff>469900</xdr:colOff>
                    <xdr:row>10</xdr:row>
                    <xdr:rowOff>368300</xdr:rowOff>
                  </from>
                  <to>
                    <xdr:col>6</xdr:col>
                    <xdr:colOff>0</xdr:colOff>
                    <xdr:row>11</xdr:row>
                    <xdr:rowOff>368300</xdr:rowOff>
                  </to>
                </anchor>
              </controlPr>
            </control>
          </mc:Choice>
        </mc:AlternateContent>
      </controls>
    </mc:Choice>
  </mc:AlternateContent>
  <extLst>
    <ext xmlns:x14="http://schemas.microsoft.com/office/spreadsheetml/2009/9/main" uri="{CCE6A557-97BC-4b89-ADB6-D9C93CAAB3DF}">
      <x14:dataValidations xmlns:xm="http://schemas.microsoft.com/office/excel/2006/main" disablePrompts="1" count="2">
        <x14:dataValidation type="list" allowBlank="1" showInputMessage="1" showErrorMessage="1" prompt="Valitse osuus_x000a_pudotusvalikosta." xr:uid="{CA466909-4961-2A46-8A10-91A87AF9B8DA}">
          <x14:formula1>
            <xm:f>Kelpoisuusehdot!$A$21:$A$26</xm:f>
          </x14:formula1>
          <xm:sqref>F4</xm:sqref>
        </x14:dataValidation>
        <x14:dataValidation type="list" allowBlank="1" showInputMessage="1" showErrorMessage="1" prompt="Valitse määrä_x000a_pudotusvalikosta." xr:uid="{7BB14B7F-2D8D-8D40-8221-9DB560D2C2C5}">
          <x14:formula1>
            <xm:f>Kelpoisuusehdot!$A$29:$A$33</xm:f>
          </x14:formula1>
          <xm:sqref>F5</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Taul1">
    <tabColor rgb="FFEFF1F5"/>
    <pageSetUpPr autoPageBreaks="0" fitToPage="1"/>
  </sheetPr>
  <dimension ref="B1:L53"/>
  <sheetViews>
    <sheetView zoomScaleNormal="100" workbookViewId="0">
      <selection activeCell="H21" sqref="H21:J22"/>
    </sheetView>
  </sheetViews>
  <sheetFormatPr baseColWidth="10" defaultColWidth="9.1640625" defaultRowHeight="14"/>
  <cols>
    <col min="1" max="2" width="3.33203125" style="74" customWidth="1"/>
    <col min="3" max="3" width="20.83203125" style="74" customWidth="1"/>
    <col min="4" max="4" width="15.83203125" style="74" customWidth="1"/>
    <col min="5" max="5" width="5.83203125" style="74" customWidth="1"/>
    <col min="6" max="6" width="30.83203125" style="74" customWidth="1"/>
    <col min="7" max="7" width="5.83203125" style="74" customWidth="1"/>
    <col min="8" max="8" width="30.83203125" style="74" customWidth="1"/>
    <col min="9" max="10" width="15.83203125" style="74" customWidth="1"/>
    <col min="11" max="12" width="3.33203125" style="74" customWidth="1"/>
    <col min="13" max="16384" width="9.1640625" style="74"/>
  </cols>
  <sheetData>
    <row r="1" spans="2:12" ht="20" customHeight="1"/>
    <row r="2" spans="2:12" ht="20" customHeight="1">
      <c r="B2" s="394"/>
      <c r="C2" s="869" t="str">
        <f>"Porvoon viherkerrointyökalu, versio " &amp;Ohjeet!D3</f>
        <v>Porvoon viherkerrointyökalu, versio 3/2024</v>
      </c>
      <c r="D2" s="869"/>
      <c r="E2" s="395"/>
      <c r="F2" s="395"/>
      <c r="G2" s="395"/>
      <c r="H2" s="395"/>
      <c r="I2" s="395"/>
      <c r="J2" s="395"/>
      <c r="K2" s="396"/>
    </row>
    <row r="3" spans="2:12" ht="20" customHeight="1">
      <c r="B3" s="397"/>
      <c r="C3" s="843" t="s">
        <v>127</v>
      </c>
      <c r="D3" s="843"/>
      <c r="E3" s="258"/>
      <c r="K3" s="398"/>
    </row>
    <row r="4" spans="2:12" ht="20" customHeight="1">
      <c r="B4" s="397"/>
      <c r="C4" s="843"/>
      <c r="D4" s="843"/>
      <c r="F4" s="399" t="s">
        <v>236</v>
      </c>
      <c r="G4" s="399"/>
      <c r="H4" s="400" t="s">
        <v>162</v>
      </c>
      <c r="K4" s="401"/>
    </row>
    <row r="5" spans="2:12" ht="20" customHeight="1">
      <c r="B5" s="397"/>
      <c r="C5" s="402"/>
      <c r="D5" s="402"/>
      <c r="F5" s="139" t="str">
        <f>IF(Rajaukset!B3&gt;0,Rajaukset!B3,"-")</f>
        <v>-</v>
      </c>
      <c r="G5" s="139"/>
      <c r="H5" s="403" t="str">
        <f>IF(Rajaukset!D3&gt;0,Rajaukset!D3,"-")</f>
        <v>-</v>
      </c>
      <c r="K5" s="401"/>
    </row>
    <row r="6" spans="2:12" ht="20" customHeight="1">
      <c r="B6" s="397"/>
      <c r="C6" s="849" t="s">
        <v>237</v>
      </c>
      <c r="D6" s="849"/>
      <c r="F6" s="400" t="s">
        <v>166</v>
      </c>
      <c r="G6" s="400"/>
      <c r="H6" s="400" t="s">
        <v>165</v>
      </c>
      <c r="K6" s="398"/>
    </row>
    <row r="7" spans="2:12" ht="20" customHeight="1">
      <c r="B7" s="397"/>
      <c r="C7" s="850" t="str">
        <f>IF(Rajaukset!B6&gt;0,Rajaukset!B6,"-")</f>
        <v>-</v>
      </c>
      <c r="D7" s="850"/>
      <c r="F7" s="140" t="str">
        <f>IF(Rajaukset!D6&gt;0,Rajaukset!D6,"-")</f>
        <v>-</v>
      </c>
      <c r="G7" s="140"/>
      <c r="H7" s="140" t="str">
        <f>IF(Rajaukset!F6&gt;0,Rajaukset!F6,"-")</f>
        <v>-</v>
      </c>
      <c r="K7" s="398"/>
    </row>
    <row r="8" spans="2:12" ht="20" customHeight="1">
      <c r="B8" s="397"/>
      <c r="C8" s="848" t="s">
        <v>413</v>
      </c>
      <c r="D8" s="848"/>
      <c r="F8" s="848" t="s">
        <v>414</v>
      </c>
      <c r="G8" s="404"/>
      <c r="H8" s="848" t="s">
        <v>235</v>
      </c>
      <c r="I8" s="848"/>
      <c r="J8" s="848"/>
      <c r="K8" s="398"/>
    </row>
    <row r="9" spans="2:12" ht="20" customHeight="1">
      <c r="B9" s="405"/>
      <c r="C9" s="848"/>
      <c r="D9" s="848"/>
      <c r="F9" s="848"/>
      <c r="G9" s="404"/>
      <c r="H9" s="848"/>
      <c r="I9" s="848"/>
      <c r="J9" s="848"/>
      <c r="K9" s="398"/>
    </row>
    <row r="10" spans="2:12" ht="20" customHeight="1">
      <c r="B10" s="397"/>
      <c r="C10" s="851" t="str">
        <f ca="1">IF(D10&lt;D12,"Viherkerroin jää alle tavoitetason!","Viherkerroin")</f>
        <v>Viherkerroin</v>
      </c>
      <c r="D10" s="853" t="str">
        <f>IF(Viherkerroin!B7=0,"-",Viherkerroin!B3)</f>
        <v>-</v>
      </c>
      <c r="F10" s="385" t="s">
        <v>182</v>
      </c>
      <c r="G10" s="404"/>
      <c r="H10" s="844" t="s">
        <v>107</v>
      </c>
      <c r="I10" s="846" t="s">
        <v>411</v>
      </c>
      <c r="J10" s="846" t="s">
        <v>412</v>
      </c>
      <c r="K10" s="406"/>
      <c r="L10" s="258"/>
    </row>
    <row r="11" spans="2:12" ht="20" customHeight="1">
      <c r="B11" s="397"/>
      <c r="C11" s="852"/>
      <c r="D11" s="854"/>
      <c r="F11" s="391" t="e">
        <f>Viherkerroin!B17</f>
        <v>#DIV/0!</v>
      </c>
      <c r="G11" s="404"/>
      <c r="H11" s="845"/>
      <c r="I11" s="847"/>
      <c r="J11" s="847"/>
      <c r="K11" s="398"/>
    </row>
    <row r="12" spans="2:12" ht="20" customHeight="1">
      <c r="B12" s="397"/>
      <c r="C12" s="855" t="s">
        <v>118</v>
      </c>
      <c r="D12" s="857">
        <f ca="1">Rajaukset!J9</f>
        <v>1.2</v>
      </c>
      <c r="F12" s="386" t="s">
        <v>460</v>
      </c>
      <c r="H12" s="388" t="s">
        <v>9</v>
      </c>
      <c r="I12" s="384">
        <f>Painokertoimet!BA20</f>
        <v>0</v>
      </c>
      <c r="J12" s="384">
        <f>Painokertoimet!BB20</f>
        <v>8</v>
      </c>
      <c r="K12" s="401"/>
    </row>
    <row r="13" spans="2:12" ht="20" customHeight="1">
      <c r="B13" s="397"/>
      <c r="C13" s="856"/>
      <c r="D13" s="858"/>
      <c r="F13" s="391" t="e">
        <f>Viherkerroin!B13</f>
        <v>#DIV/0!</v>
      </c>
      <c r="H13" s="383" t="s">
        <v>10</v>
      </c>
      <c r="I13" s="384">
        <f>Painokertoimet!BA21</f>
        <v>0</v>
      </c>
      <c r="J13" s="384">
        <f>Painokertoimet!BB21</f>
        <v>12</v>
      </c>
      <c r="K13" s="398"/>
    </row>
    <row r="14" spans="2:12" ht="20" customHeight="1">
      <c r="B14" s="397"/>
      <c r="C14" s="407"/>
      <c r="D14" s="407"/>
      <c r="F14" s="872" t="s">
        <v>461</v>
      </c>
      <c r="H14" s="383" t="s">
        <v>275</v>
      </c>
      <c r="I14" s="384">
        <f>Painokertoimet!BA22</f>
        <v>0</v>
      </c>
      <c r="J14" s="384">
        <f>Painokertoimet!BB22</f>
        <v>4</v>
      </c>
      <c r="K14" s="398"/>
      <c r="L14" s="16"/>
    </row>
    <row r="15" spans="2:12" ht="20" customHeight="1">
      <c r="B15" s="397"/>
      <c r="C15" s="848" t="s">
        <v>415</v>
      </c>
      <c r="D15" s="848"/>
      <c r="F15" s="873"/>
      <c r="H15" s="383" t="s">
        <v>11</v>
      </c>
      <c r="I15" s="384">
        <f>Painokertoimet!BA23</f>
        <v>0</v>
      </c>
      <c r="J15" s="384">
        <f>Painokertoimet!BB23</f>
        <v>2</v>
      </c>
      <c r="K15" s="398"/>
    </row>
    <row r="16" spans="2:12" ht="20" customHeight="1">
      <c r="B16" s="397"/>
      <c r="C16" s="848"/>
      <c r="D16" s="848"/>
      <c r="F16" s="392">
        <f>(Viherkerroin!I31+Viherkerroin!I32+Viherkerroin!I33)*Rajaukset!C43+Viherkerroin!I35+Viherkerroin!I36+(Viherkerroin!I30+Viherkerroin!I34)*Rajaukset!C44</f>
        <v>0</v>
      </c>
      <c r="H16" s="383" t="s">
        <v>8</v>
      </c>
      <c r="I16" s="384">
        <f>Painokertoimet!BA24</f>
        <v>0</v>
      </c>
      <c r="J16" s="384">
        <f>Painokertoimet!BB24</f>
        <v>8</v>
      </c>
      <c r="K16" s="398"/>
    </row>
    <row r="17" spans="2:11" ht="20" customHeight="1">
      <c r="B17" s="397"/>
      <c r="C17" s="851" t="str">
        <f>IF(Luontolaskuri!I34=-2,"Luontolaskuria ei ole täytetty",IF(Luontolaskuri!I34&lt;=4,"Tavoitetasoa ei saavutettu!","Tavoitetaso saavutettu!"))</f>
        <v>Luontolaskuria ei ole täytetty</v>
      </c>
      <c r="D17" s="870"/>
      <c r="F17" s="386" t="s">
        <v>462</v>
      </c>
      <c r="H17" s="383" t="s">
        <v>18</v>
      </c>
      <c r="I17" s="384">
        <f>Painokertoimet!BA25</f>
        <v>0</v>
      </c>
      <c r="J17" s="384">
        <f>Painokertoimet!BB25</f>
        <v>8</v>
      </c>
      <c r="K17" s="398"/>
    </row>
    <row r="18" spans="2:11" ht="20" customHeight="1">
      <c r="B18" s="397"/>
      <c r="C18" s="852"/>
      <c r="D18" s="871"/>
      <c r="F18" s="915" t="e">
        <f>IF((F13-F16)&lt;0,0,F13-F16)</f>
        <v>#DIV/0!</v>
      </c>
      <c r="H18" s="389" t="s">
        <v>16</v>
      </c>
      <c r="I18" s="390">
        <f>Painokertoimet!BA26</f>
        <v>0</v>
      </c>
      <c r="J18" s="390">
        <f>Painokertoimet!BB26</f>
        <v>42</v>
      </c>
      <c r="K18" s="398"/>
    </row>
    <row r="19" spans="2:11" ht="20" customHeight="1">
      <c r="B19" s="397"/>
      <c r="C19" s="859" t="str">
        <f>IF(Luontolaskuri!I34&gt;-2,Luontolaskuri!I3,"Tulosta ei voida näyttää")</f>
        <v>Tulosta ei voida näyttää</v>
      </c>
      <c r="D19" s="860"/>
      <c r="F19" s="387" t="s">
        <v>188</v>
      </c>
      <c r="H19" s="408"/>
      <c r="I19" s="408"/>
      <c r="K19" s="398"/>
    </row>
    <row r="20" spans="2:11" ht="20" customHeight="1">
      <c r="B20" s="397"/>
      <c r="C20" s="859"/>
      <c r="D20" s="860"/>
      <c r="F20" s="393" t="e">
        <f>Viherkerroin!I29/Viherkerroin!B7</f>
        <v>#DIV/0!</v>
      </c>
      <c r="H20" s="409" t="s">
        <v>229</v>
      </c>
      <c r="I20" s="410"/>
      <c r="K20" s="406"/>
    </row>
    <row r="21" spans="2:11" ht="20" customHeight="1">
      <c r="B21" s="397"/>
      <c r="C21" s="861"/>
      <c r="D21" s="862"/>
      <c r="H21" s="863"/>
      <c r="I21" s="864"/>
      <c r="J21" s="865"/>
      <c r="K21" s="406"/>
    </row>
    <row r="22" spans="2:11" ht="20" customHeight="1">
      <c r="B22" s="397"/>
      <c r="H22" s="866"/>
      <c r="I22" s="867"/>
      <c r="J22" s="868"/>
      <c r="K22" s="398"/>
    </row>
    <row r="23" spans="2:11" ht="20" customHeight="1">
      <c r="B23" s="397"/>
      <c r="C23" s="409" t="s">
        <v>228</v>
      </c>
      <c r="K23" s="398"/>
    </row>
    <row r="24" spans="2:11" ht="20" customHeight="1">
      <c r="B24" s="397"/>
      <c r="C24" s="832" t="e">
        <f>Rajaukset!D55&amp;IF(Luontolaskuri!G39=-2,"- "&amp;Luontolaskuri!I51," ")</f>
        <v>#DIV/0!</v>
      </c>
      <c r="D24" s="833"/>
      <c r="E24" s="833"/>
      <c r="F24" s="833"/>
      <c r="G24" s="833"/>
      <c r="H24" s="833"/>
      <c r="I24" s="833"/>
      <c r="J24" s="834"/>
      <c r="K24" s="398"/>
    </row>
    <row r="25" spans="2:11" ht="20" customHeight="1">
      <c r="B25" s="397"/>
      <c r="C25" s="835"/>
      <c r="D25" s="836"/>
      <c r="E25" s="836"/>
      <c r="F25" s="836"/>
      <c r="G25" s="836"/>
      <c r="H25" s="836"/>
      <c r="I25" s="836"/>
      <c r="J25" s="837"/>
      <c r="K25" s="398"/>
    </row>
    <row r="26" spans="2:11" ht="20" customHeight="1">
      <c r="B26" s="397"/>
      <c r="C26" s="838"/>
      <c r="D26" s="839"/>
      <c r="E26" s="839"/>
      <c r="F26" s="839"/>
      <c r="G26" s="839"/>
      <c r="H26" s="839"/>
      <c r="I26" s="839"/>
      <c r="J26" s="840"/>
      <c r="K26" s="398"/>
    </row>
    <row r="27" spans="2:11" ht="20" customHeight="1">
      <c r="B27" s="397"/>
      <c r="K27" s="398"/>
    </row>
    <row r="28" spans="2:11" ht="20" customHeight="1">
      <c r="B28" s="397"/>
      <c r="K28" s="401"/>
    </row>
    <row r="29" spans="2:11" ht="20" customHeight="1">
      <c r="B29" s="397"/>
      <c r="K29" s="398"/>
    </row>
    <row r="30" spans="2:11" ht="20" customHeight="1">
      <c r="B30" s="397"/>
      <c r="K30" s="401"/>
    </row>
    <row r="31" spans="2:11" ht="20" customHeight="1">
      <c r="B31" s="397"/>
      <c r="K31" s="398"/>
    </row>
    <row r="32" spans="2:11" ht="20" customHeight="1">
      <c r="B32" s="397"/>
      <c r="K32" s="398"/>
    </row>
    <row r="33" spans="2:11" ht="20" customHeight="1">
      <c r="B33" s="397"/>
      <c r="K33" s="401"/>
    </row>
    <row r="34" spans="2:11" ht="20" customHeight="1">
      <c r="B34" s="397"/>
      <c r="K34" s="398"/>
    </row>
    <row r="35" spans="2:11" ht="20" customHeight="1">
      <c r="B35" s="397"/>
      <c r="K35" s="398"/>
    </row>
    <row r="36" spans="2:11" ht="20" customHeight="1">
      <c r="B36" s="397"/>
      <c r="K36" s="398"/>
    </row>
    <row r="37" spans="2:11" ht="20" customHeight="1">
      <c r="B37" s="397"/>
      <c r="K37" s="398"/>
    </row>
    <row r="38" spans="2:11" ht="20" customHeight="1">
      <c r="B38" s="397"/>
      <c r="K38" s="398"/>
    </row>
    <row r="39" spans="2:11" ht="20" customHeight="1">
      <c r="B39" s="397"/>
      <c r="K39" s="398"/>
    </row>
    <row r="40" spans="2:11" ht="20" customHeight="1">
      <c r="B40" s="397"/>
      <c r="K40" s="398"/>
    </row>
    <row r="41" spans="2:11" ht="20" customHeight="1">
      <c r="B41" s="397"/>
      <c r="K41" s="398"/>
    </row>
    <row r="42" spans="2:11" ht="20" customHeight="1">
      <c r="B42" s="397"/>
      <c r="K42" s="411"/>
    </row>
    <row r="43" spans="2:11" ht="20" customHeight="1">
      <c r="B43" s="397"/>
      <c r="K43" s="398"/>
    </row>
    <row r="44" spans="2:11" ht="20" customHeight="1">
      <c r="B44" s="397"/>
      <c r="K44" s="398"/>
    </row>
    <row r="45" spans="2:11" ht="20" customHeight="1">
      <c r="B45" s="397"/>
      <c r="K45" s="398"/>
    </row>
    <row r="46" spans="2:11" ht="20" customHeight="1">
      <c r="B46" s="397"/>
      <c r="K46" s="398"/>
    </row>
    <row r="47" spans="2:11" ht="20" customHeight="1">
      <c r="B47" s="397"/>
      <c r="K47" s="398"/>
    </row>
    <row r="48" spans="2:11" ht="20" customHeight="1">
      <c r="B48" s="397"/>
      <c r="K48" s="398"/>
    </row>
    <row r="49" spans="2:11" ht="20" customHeight="1">
      <c r="B49" s="397"/>
      <c r="K49" s="398"/>
    </row>
    <row r="50" spans="2:11" ht="20" customHeight="1">
      <c r="B50" s="397"/>
      <c r="H50" s="412"/>
      <c r="I50" s="412"/>
      <c r="K50" s="398"/>
    </row>
    <row r="51" spans="2:11" ht="20" customHeight="1">
      <c r="B51" s="413"/>
      <c r="C51" s="414"/>
      <c r="D51" s="414"/>
      <c r="E51" s="414"/>
      <c r="F51" s="414"/>
      <c r="G51" s="414"/>
      <c r="H51" s="415"/>
      <c r="I51" s="415"/>
      <c r="J51" s="414"/>
      <c r="K51" s="416"/>
    </row>
    <row r="52" spans="2:11" ht="20" customHeight="1" thickBot="1"/>
    <row r="53" spans="2:11" ht="20" customHeight="1" thickBot="1">
      <c r="B53" s="841" t="s">
        <v>250</v>
      </c>
      <c r="C53" s="842"/>
    </row>
  </sheetData>
  <sheetProtection algorithmName="SHA-512" hashValue="T4TyOCIvsjJFbIjhDGuG46FPGCPCRU00fHHPGI/21lq1TPEIuMA7pMjovhj0tf5XmrsIamiX2lZkWl62H3HntQ==" saltValue="+tnt0oKJmAGw0i0J8PfskA==" spinCount="100000" sheet="1" objects="1" scenarios="1"/>
  <customSheetViews>
    <customSheetView guid="{C0826E8D-7112-6B45-A18A-1E6622F31D95}" scale="110" fitToPage="1">
      <selection activeCell="B50" sqref="B50"/>
      <pageMargins left="0.70866141732283472" right="0.70866141732283472" top="0.74803149606299213" bottom="0.74803149606299213" header="0.31496062992125984" footer="0.31496062992125984"/>
      <pageSetup paperSize="9" scale="71" orientation="portrait" r:id="rId1"/>
    </customSheetView>
  </customSheetViews>
  <mergeCells count="21">
    <mergeCell ref="C2:D2"/>
    <mergeCell ref="F8:F9"/>
    <mergeCell ref="C17:D18"/>
    <mergeCell ref="J10:J11"/>
    <mergeCell ref="F14:F15"/>
    <mergeCell ref="C24:J26"/>
    <mergeCell ref="B53:C53"/>
    <mergeCell ref="C3:D4"/>
    <mergeCell ref="H10:H11"/>
    <mergeCell ref="I10:I11"/>
    <mergeCell ref="C8:D9"/>
    <mergeCell ref="C6:D6"/>
    <mergeCell ref="C7:D7"/>
    <mergeCell ref="C10:C11"/>
    <mergeCell ref="D10:D11"/>
    <mergeCell ref="C12:C13"/>
    <mergeCell ref="D12:D13"/>
    <mergeCell ref="C15:D16"/>
    <mergeCell ref="C19:D21"/>
    <mergeCell ref="H8:J9"/>
    <mergeCell ref="H21:J22"/>
  </mergeCells>
  <conditionalFormatting sqref="C10:C11">
    <cfRule type="containsText" dxfId="12" priority="1" operator="containsText" text="Viherkerroin jää alle tavoitetason!">
      <formula>NOT(ISERROR(SEARCH("Viherkerroin jää alle tavoitetason!",C10)))</formula>
    </cfRule>
    <cfRule type="cellIs" dxfId="11" priority="15" operator="lessThan">
      <formula>$D$12</formula>
    </cfRule>
  </conditionalFormatting>
  <conditionalFormatting sqref="C17">
    <cfRule type="cellIs" dxfId="10" priority="9" operator="lessThan">
      <formula>$D$12</formula>
    </cfRule>
  </conditionalFormatting>
  <conditionalFormatting sqref="C19">
    <cfRule type="containsText" dxfId="9" priority="7" stopIfTrue="1" operator="containsText" text="VIherelementtien ratkaisut eivät tue luonnon monimuotoisuutta">
      <formula>NOT(ISERROR(SEARCH("VIherelementtien ratkaisut eivät tue luonnon monimuotoisuutta",C19)))</formula>
    </cfRule>
    <cfRule type="containsText" dxfId="8" priority="5" operator="containsText" text="Viherelementtien ratkaisut tukevat luonnon monimuotoisuutta hyvin">
      <formula>NOT(ISERROR(SEARCH("Viherelementtien ratkaisut tukevat luonnon monimuotoisuutta hyvin",C19)))</formula>
    </cfRule>
    <cfRule type="containsText" dxfId="7" priority="6" operator="containsText" text="Viherelementtien ratkaisut tukevat luonnon monimuotoisuutta">
      <formula>NOT(ISERROR(SEARCH("Viherelementtien ratkaisut tukevat luonnon monimuotoisuutta",C19)))</formula>
    </cfRule>
    <cfRule type="containsText" dxfId="6" priority="8" stopIfTrue="1" operator="containsText" text="Viherelementtien ratkaisuista voi olla haittaa luonnon monimuotoisuudelle">
      <formula>NOT(ISERROR(SEARCH("Viherelementtien ratkaisuista voi olla haittaa luonnon monimuotoisuudelle",C19)))</formula>
    </cfRule>
  </conditionalFormatting>
  <conditionalFormatting sqref="C17:D18">
    <cfRule type="containsText" dxfId="5" priority="3" operator="containsText" text="Tavoitetasoa ei saavutettu!">
      <formula>NOT(ISERROR(SEARCH("Tavoitetasoa ei saavutettu!",C17)))</formula>
    </cfRule>
  </conditionalFormatting>
  <conditionalFormatting sqref="C19:D21">
    <cfRule type="containsText" dxfId="4" priority="4" operator="containsText" text="Tulosta ei voida näyttää">
      <formula>NOT(ISERROR(SEARCH("Tulosta ei voida näyttää",C19)))</formula>
    </cfRule>
  </conditionalFormatting>
  <conditionalFormatting sqref="D10:D11">
    <cfRule type="cellIs" dxfId="3" priority="16" operator="lessThan">
      <formula>$D$12</formula>
    </cfRule>
  </conditionalFormatting>
  <conditionalFormatting sqref="F18">
    <cfRule type="cellIs" dxfId="0" priority="14" operator="notEqual">
      <formula>0</formula>
    </cfRule>
  </conditionalFormatting>
  <conditionalFormatting sqref="I12:I17">
    <cfRule type="cellIs" dxfId="2" priority="17" operator="equal">
      <formula>0</formula>
    </cfRule>
  </conditionalFormatting>
  <conditionalFormatting sqref="N14">
    <cfRule type="cellIs" dxfId="1" priority="2" operator="greaterThan">
      <formula>0</formula>
    </cfRule>
  </conditionalFormatting>
  <hyperlinks>
    <hyperlink ref="B53" location="Viherkerroin!A1" display="Edellinen" xr:uid="{06405EF1-5D2C-964C-B7F2-EDC297BFDCD7}"/>
  </hyperlinks>
  <pageMargins left="0.70866141732283472" right="0.70866141732283472" top="0.74803149606299213" bottom="0.74803149606299213" header="0.31496062992125984" footer="0.31496062992125984"/>
  <pageSetup paperSize="9" scale="52" orientation="portrait" r:id="rId2"/>
  <ignoredErrors>
    <ignoredError sqref="C24" evalError="1"/>
  </ignoredErrors>
  <drawing r:id="rId3"/>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Taul3">
    <tabColor rgb="FFFFE69D"/>
  </sheetPr>
  <dimension ref="B1:AF89"/>
  <sheetViews>
    <sheetView zoomScaleNormal="100" workbookViewId="0">
      <pane ySplit="1" topLeftCell="A2" activePane="bottomLeft" state="frozen"/>
      <selection pane="bottomLeft"/>
    </sheetView>
  </sheetViews>
  <sheetFormatPr baseColWidth="10" defaultColWidth="9.1640625" defaultRowHeight="14"/>
  <cols>
    <col min="1" max="1" width="3.33203125" style="74" customWidth="1"/>
    <col min="2" max="2" width="20" style="134" customWidth="1"/>
    <col min="3" max="3" width="50.83203125" style="74" customWidth="1"/>
    <col min="4" max="4" width="60.83203125" style="135" customWidth="1"/>
    <col min="5" max="5" width="5.83203125" style="42" customWidth="1"/>
    <col min="6" max="6" width="60.83203125" style="135" customWidth="1"/>
    <col min="7" max="7" width="5.83203125" style="42" customWidth="1"/>
    <col min="8" max="8" width="60.83203125" style="136" customWidth="1"/>
    <col min="9" max="9" width="5.83203125" style="42" customWidth="1"/>
    <col min="10" max="10" width="60.83203125" style="135" customWidth="1"/>
    <col min="11" max="11" width="5.83203125" style="42" customWidth="1"/>
    <col min="12" max="12" width="60.83203125" style="135" customWidth="1"/>
    <col min="13" max="13" width="5.83203125" style="42" customWidth="1"/>
    <col min="14" max="14" width="20.83203125" style="23" customWidth="1"/>
    <col min="15" max="15" width="5.83203125" style="36" customWidth="1"/>
    <col min="16" max="16" width="50.83203125" style="74" customWidth="1"/>
    <col min="17" max="17" width="8.83203125" style="36" customWidth="1"/>
    <col min="18" max="18" width="34.1640625" style="36" customWidth="1"/>
    <col min="19" max="19" width="30.5" style="36" customWidth="1"/>
    <col min="20" max="20" width="46" style="36" customWidth="1"/>
    <col min="21" max="29" width="8.83203125" style="36" customWidth="1"/>
    <col min="30" max="32" width="9.1640625" style="36"/>
    <col min="33" max="16384" width="9.1640625" style="74"/>
  </cols>
  <sheetData>
    <row r="1" spans="2:32" s="100" customFormat="1" ht="70" customHeight="1" thickBot="1">
      <c r="B1" s="243" t="s">
        <v>38</v>
      </c>
      <c r="C1" s="486" t="s">
        <v>1</v>
      </c>
      <c r="D1" s="883" t="s">
        <v>4</v>
      </c>
      <c r="E1" s="885"/>
      <c r="F1" s="883" t="s">
        <v>5</v>
      </c>
      <c r="G1" s="885"/>
      <c r="H1" s="883" t="s">
        <v>12</v>
      </c>
      <c r="I1" s="885"/>
      <c r="J1" s="883" t="s">
        <v>6</v>
      </c>
      <c r="K1" s="884"/>
      <c r="L1" s="883" t="s">
        <v>176</v>
      </c>
      <c r="M1" s="884"/>
      <c r="N1" s="487" t="s">
        <v>13</v>
      </c>
      <c r="O1" s="98"/>
      <c r="P1" s="498" t="s">
        <v>341</v>
      </c>
      <c r="Q1" s="36"/>
      <c r="R1" s="880" t="s">
        <v>22</v>
      </c>
      <c r="S1" s="881"/>
      <c r="T1" s="882"/>
      <c r="U1" s="36"/>
      <c r="V1" s="36"/>
      <c r="W1" s="36"/>
      <c r="X1" s="36"/>
      <c r="Y1" s="36"/>
      <c r="Z1" s="36"/>
      <c r="AA1" s="36"/>
      <c r="AB1" s="36"/>
      <c r="AC1" s="36"/>
      <c r="AD1" s="99"/>
      <c r="AE1" s="99"/>
      <c r="AF1" s="99"/>
    </row>
    <row r="2" spans="2:32" s="104" customFormat="1" ht="170" customHeight="1">
      <c r="B2" s="874" t="s">
        <v>54</v>
      </c>
      <c r="C2" s="417" t="s">
        <v>570</v>
      </c>
      <c r="D2" s="424" t="s">
        <v>454</v>
      </c>
      <c r="E2" s="428">
        <v>3</v>
      </c>
      <c r="F2" s="421" t="s">
        <v>55</v>
      </c>
      <c r="G2" s="428">
        <v>3</v>
      </c>
      <c r="H2" s="427" t="s">
        <v>56</v>
      </c>
      <c r="I2" s="429">
        <v>3</v>
      </c>
      <c r="J2" s="421" t="s">
        <v>57</v>
      </c>
      <c r="K2" s="463">
        <v>2.5</v>
      </c>
      <c r="L2" s="421" t="s">
        <v>212</v>
      </c>
      <c r="M2" s="463">
        <v>3</v>
      </c>
      <c r="N2" s="464">
        <v>3.4673611111111109</v>
      </c>
      <c r="O2" s="102"/>
      <c r="P2" s="499" t="s">
        <v>58</v>
      </c>
      <c r="Q2" s="36"/>
      <c r="R2" s="488" t="s">
        <v>14</v>
      </c>
      <c r="S2" s="489" t="s">
        <v>169</v>
      </c>
      <c r="T2" s="490" t="s">
        <v>168</v>
      </c>
      <c r="U2" s="36"/>
      <c r="V2" s="36"/>
      <c r="W2" s="36"/>
      <c r="X2" s="36"/>
      <c r="Y2" s="36"/>
      <c r="Z2" s="36"/>
      <c r="AA2" s="36"/>
      <c r="AB2" s="36"/>
      <c r="AC2" s="36"/>
      <c r="AD2" s="103"/>
      <c r="AE2" s="103"/>
      <c r="AF2" s="103"/>
    </row>
    <row r="3" spans="2:32" s="104" customFormat="1" ht="130" customHeight="1">
      <c r="B3" s="875"/>
      <c r="C3" s="418" t="s">
        <v>571</v>
      </c>
      <c r="D3" s="422" t="s">
        <v>490</v>
      </c>
      <c r="E3" s="206">
        <v>2.5</v>
      </c>
      <c r="F3" s="422" t="s">
        <v>492</v>
      </c>
      <c r="G3" s="206">
        <v>2.5</v>
      </c>
      <c r="H3" s="426" t="s">
        <v>34</v>
      </c>
      <c r="I3" s="430">
        <v>2.8</v>
      </c>
      <c r="J3" s="422" t="s">
        <v>59</v>
      </c>
      <c r="K3" s="465">
        <v>2.5</v>
      </c>
      <c r="L3" s="422" t="s">
        <v>191</v>
      </c>
      <c r="M3" s="465">
        <v>3</v>
      </c>
      <c r="N3" s="230">
        <v>3.1235416666666662</v>
      </c>
      <c r="O3" s="102"/>
      <c r="P3" s="499" t="s">
        <v>60</v>
      </c>
      <c r="Q3" s="36"/>
      <c r="R3" s="491" t="s">
        <v>4</v>
      </c>
      <c r="S3" s="492">
        <v>1.5868055555555554</v>
      </c>
      <c r="T3" s="493" t="s">
        <v>355</v>
      </c>
      <c r="U3" s="36"/>
      <c r="V3" s="36"/>
      <c r="W3" s="36"/>
      <c r="X3" s="36"/>
      <c r="Y3" s="36"/>
      <c r="Z3" s="36"/>
      <c r="AA3" s="36"/>
      <c r="AB3" s="36"/>
      <c r="AC3" s="36"/>
      <c r="AD3" s="103"/>
      <c r="AE3" s="103"/>
      <c r="AF3" s="103"/>
    </row>
    <row r="4" spans="2:32" s="104" customFormat="1" ht="130" customHeight="1">
      <c r="B4" s="875"/>
      <c r="C4" s="418" t="s">
        <v>572</v>
      </c>
      <c r="D4" s="422" t="s">
        <v>494</v>
      </c>
      <c r="E4" s="206">
        <v>2.5</v>
      </c>
      <c r="F4" s="422" t="s">
        <v>533</v>
      </c>
      <c r="G4" s="206">
        <v>2.5</v>
      </c>
      <c r="H4" s="426" t="s">
        <v>34</v>
      </c>
      <c r="I4" s="430">
        <v>3</v>
      </c>
      <c r="J4" s="422" t="s">
        <v>59</v>
      </c>
      <c r="K4" s="465">
        <v>2.5</v>
      </c>
      <c r="L4" s="422" t="s">
        <v>191</v>
      </c>
      <c r="M4" s="465">
        <v>2.5</v>
      </c>
      <c r="N4" s="230">
        <v>3.0322916666666666</v>
      </c>
      <c r="O4" s="102"/>
      <c r="P4" s="499" t="s">
        <v>65</v>
      </c>
      <c r="Q4" s="36"/>
      <c r="R4" s="491" t="s">
        <v>5</v>
      </c>
      <c r="S4" s="492">
        <v>1.5138888888888886</v>
      </c>
      <c r="T4" s="493" t="s">
        <v>356</v>
      </c>
      <c r="U4" s="36"/>
      <c r="V4" s="36"/>
      <c r="W4" s="36"/>
      <c r="X4" s="36"/>
      <c r="Y4" s="36"/>
      <c r="Z4" s="36"/>
      <c r="AA4" s="36"/>
      <c r="AB4" s="36"/>
      <c r="AC4" s="36"/>
      <c r="AD4" s="103"/>
      <c r="AE4" s="103"/>
      <c r="AF4" s="103"/>
    </row>
    <row r="5" spans="2:32" s="104" customFormat="1" ht="130" customHeight="1">
      <c r="B5" s="875"/>
      <c r="C5" s="418" t="s">
        <v>489</v>
      </c>
      <c r="D5" s="422" t="s">
        <v>493</v>
      </c>
      <c r="E5" s="206">
        <v>2.2000000000000002</v>
      </c>
      <c r="F5" s="422" t="s">
        <v>534</v>
      </c>
      <c r="G5" s="206">
        <v>2.2000000000000002</v>
      </c>
      <c r="H5" s="426" t="s">
        <v>34</v>
      </c>
      <c r="I5" s="430">
        <v>2.8</v>
      </c>
      <c r="J5" s="422" t="s">
        <v>59</v>
      </c>
      <c r="K5" s="465">
        <v>2.5</v>
      </c>
      <c r="L5" s="423" t="s">
        <v>191</v>
      </c>
      <c r="M5" s="465">
        <v>2.5</v>
      </c>
      <c r="N5" s="230">
        <v>2.8125</v>
      </c>
      <c r="O5" s="102"/>
      <c r="P5" s="499" t="s">
        <v>69</v>
      </c>
      <c r="Q5" s="36"/>
      <c r="R5" s="491" t="s">
        <v>12</v>
      </c>
      <c r="S5" s="492">
        <v>0.84375</v>
      </c>
      <c r="T5" s="494" t="s">
        <v>372</v>
      </c>
      <c r="U5" s="36"/>
      <c r="V5" s="36"/>
      <c r="W5" s="36"/>
      <c r="X5" s="36"/>
      <c r="Y5" s="36"/>
      <c r="Z5" s="36"/>
      <c r="AA5" s="36"/>
      <c r="AB5" s="36"/>
      <c r="AC5" s="36"/>
      <c r="AD5" s="103"/>
      <c r="AE5" s="103"/>
      <c r="AF5" s="103"/>
    </row>
    <row r="6" spans="2:32" ht="60" customHeight="1">
      <c r="B6" s="875"/>
      <c r="C6" s="418" t="s">
        <v>491</v>
      </c>
      <c r="D6" s="422" t="s">
        <v>61</v>
      </c>
      <c r="E6" s="206">
        <v>2</v>
      </c>
      <c r="F6" s="422" t="s">
        <v>62</v>
      </c>
      <c r="G6" s="206">
        <v>2</v>
      </c>
      <c r="H6" s="426" t="s">
        <v>63</v>
      </c>
      <c r="I6" s="430">
        <v>2</v>
      </c>
      <c r="J6" s="422" t="s">
        <v>64</v>
      </c>
      <c r="K6" s="465">
        <v>2</v>
      </c>
      <c r="L6" s="422" t="s">
        <v>535</v>
      </c>
      <c r="M6" s="465">
        <v>2</v>
      </c>
      <c r="N6" s="230">
        <v>2.3583333333333329</v>
      </c>
      <c r="O6" s="102"/>
      <c r="P6" s="500" t="s">
        <v>342</v>
      </c>
      <c r="R6" s="491" t="s">
        <v>6</v>
      </c>
      <c r="S6" s="492">
        <v>0.70138888888888884</v>
      </c>
      <c r="T6" s="494" t="s">
        <v>371</v>
      </c>
    </row>
    <row r="7" spans="2:32" ht="123" customHeight="1" thickBot="1">
      <c r="B7" s="875"/>
      <c r="C7" s="148" t="s">
        <v>272</v>
      </c>
      <c r="D7" s="107" t="s">
        <v>455</v>
      </c>
      <c r="E7" s="203">
        <v>2</v>
      </c>
      <c r="F7" s="105" t="s">
        <v>288</v>
      </c>
      <c r="G7" s="203">
        <v>1.5</v>
      </c>
      <c r="H7" s="106" t="s">
        <v>67</v>
      </c>
      <c r="I7" s="211">
        <v>2</v>
      </c>
      <c r="J7" s="105" t="s">
        <v>68</v>
      </c>
      <c r="K7" s="217">
        <v>2</v>
      </c>
      <c r="L7" s="105" t="s">
        <v>193</v>
      </c>
      <c r="M7" s="217">
        <v>2</v>
      </c>
      <c r="N7" s="224">
        <v>2.2069444444444444</v>
      </c>
      <c r="O7" s="102"/>
      <c r="P7" s="499" t="s">
        <v>75</v>
      </c>
      <c r="R7" s="495" t="s">
        <v>333</v>
      </c>
      <c r="S7" s="496">
        <v>1.25</v>
      </c>
      <c r="T7" s="497" t="s">
        <v>163</v>
      </c>
    </row>
    <row r="8" spans="2:32" ht="70" customHeight="1" thickBot="1">
      <c r="B8" s="876"/>
      <c r="C8" s="148" t="s">
        <v>273</v>
      </c>
      <c r="D8" s="105" t="s">
        <v>283</v>
      </c>
      <c r="E8" s="203">
        <v>1.5</v>
      </c>
      <c r="F8" s="105" t="s">
        <v>284</v>
      </c>
      <c r="G8" s="203">
        <v>1.5</v>
      </c>
      <c r="H8" s="106" t="s">
        <v>285</v>
      </c>
      <c r="I8" s="211">
        <v>1</v>
      </c>
      <c r="J8" s="105" t="s">
        <v>286</v>
      </c>
      <c r="K8" s="211">
        <v>1</v>
      </c>
      <c r="L8" s="105" t="s">
        <v>287</v>
      </c>
      <c r="M8" s="211">
        <v>1</v>
      </c>
      <c r="N8" s="224">
        <v>1.5</v>
      </c>
      <c r="O8" s="102"/>
      <c r="P8" s="499" t="s">
        <v>77</v>
      </c>
      <c r="R8" s="302"/>
      <c r="S8" s="303"/>
      <c r="T8" s="304"/>
    </row>
    <row r="9" spans="2:32" ht="100" customHeight="1" thickBot="1">
      <c r="B9" s="108" t="s">
        <v>253</v>
      </c>
      <c r="C9" s="152" t="s">
        <v>70</v>
      </c>
      <c r="D9" s="109" t="s">
        <v>456</v>
      </c>
      <c r="E9" s="210">
        <v>2</v>
      </c>
      <c r="F9" s="110" t="s">
        <v>72</v>
      </c>
      <c r="G9" s="210">
        <v>1</v>
      </c>
      <c r="H9" s="111" t="s">
        <v>289</v>
      </c>
      <c r="I9" s="215">
        <v>3</v>
      </c>
      <c r="J9" s="110" t="s">
        <v>73</v>
      </c>
      <c r="K9" s="219">
        <v>3</v>
      </c>
      <c r="L9" s="110" t="s">
        <v>227</v>
      </c>
      <c r="M9" s="219">
        <v>0</v>
      </c>
      <c r="N9" s="226">
        <v>1.8645833333333333</v>
      </c>
      <c r="O9" s="102"/>
      <c r="P9" s="499" t="s">
        <v>82</v>
      </c>
      <c r="R9" s="302"/>
      <c r="S9" s="303"/>
      <c r="T9" s="304"/>
    </row>
    <row r="10" spans="2:32" ht="84.75" customHeight="1" thickBot="1">
      <c r="B10" s="874" t="s">
        <v>24</v>
      </c>
      <c r="C10" s="419" t="s">
        <v>518</v>
      </c>
      <c r="D10" s="424" t="s">
        <v>322</v>
      </c>
      <c r="E10" s="428">
        <v>2.5</v>
      </c>
      <c r="F10" s="424" t="s">
        <v>32</v>
      </c>
      <c r="G10" s="428">
        <v>2</v>
      </c>
      <c r="H10" s="424" t="s">
        <v>31</v>
      </c>
      <c r="I10" s="429">
        <v>2.8</v>
      </c>
      <c r="J10" s="421" t="s">
        <v>74</v>
      </c>
      <c r="K10" s="431">
        <v>2</v>
      </c>
      <c r="L10" s="421" t="s">
        <v>529</v>
      </c>
      <c r="M10" s="431">
        <v>2.5</v>
      </c>
      <c r="N10" s="464">
        <v>2.7770138888888889</v>
      </c>
      <c r="O10" s="102"/>
      <c r="P10" s="501" t="s">
        <v>85</v>
      </c>
      <c r="R10" s="74"/>
      <c r="S10" s="74"/>
      <c r="T10" s="74"/>
    </row>
    <row r="11" spans="2:32" ht="70" customHeight="1">
      <c r="B11" s="875"/>
      <c r="C11" s="420" t="s">
        <v>519</v>
      </c>
      <c r="D11" s="425" t="s">
        <v>520</v>
      </c>
      <c r="E11" s="206">
        <v>2</v>
      </c>
      <c r="F11" s="425" t="s">
        <v>522</v>
      </c>
      <c r="G11" s="206">
        <v>1.5</v>
      </c>
      <c r="H11" s="425" t="s">
        <v>525</v>
      </c>
      <c r="I11" s="430">
        <v>2.6</v>
      </c>
      <c r="J11" s="422" t="s">
        <v>76</v>
      </c>
      <c r="K11" s="432">
        <v>2</v>
      </c>
      <c r="L11" s="422" t="s">
        <v>530</v>
      </c>
      <c r="M11" s="432">
        <v>2.5</v>
      </c>
      <c r="N11" s="230">
        <v>2.4331944444444447</v>
      </c>
      <c r="O11" s="102"/>
      <c r="R11" s="74"/>
      <c r="S11" s="74"/>
      <c r="T11" s="74"/>
    </row>
    <row r="12" spans="2:32" ht="70" customHeight="1">
      <c r="B12" s="875"/>
      <c r="C12" s="420" t="s">
        <v>563</v>
      </c>
      <c r="D12" s="425" t="s">
        <v>521</v>
      </c>
      <c r="E12" s="206">
        <v>2</v>
      </c>
      <c r="F12" s="425" t="s">
        <v>523</v>
      </c>
      <c r="G12" s="206">
        <v>1.5</v>
      </c>
      <c r="H12" s="425" t="s">
        <v>526</v>
      </c>
      <c r="I12" s="430">
        <v>2.8</v>
      </c>
      <c r="J12" s="422" t="s">
        <v>528</v>
      </c>
      <c r="K12" s="432">
        <v>2</v>
      </c>
      <c r="L12" s="423" t="s">
        <v>531</v>
      </c>
      <c r="M12" s="432">
        <v>2</v>
      </c>
      <c r="N12" s="230">
        <v>2.3419444444444446</v>
      </c>
      <c r="O12" s="102"/>
      <c r="R12" s="74"/>
      <c r="S12" s="74"/>
      <c r="T12" s="74"/>
    </row>
    <row r="13" spans="2:32" ht="70" customHeight="1">
      <c r="B13" s="875"/>
      <c r="C13" s="420" t="s">
        <v>562</v>
      </c>
      <c r="D13" s="425" t="s">
        <v>520</v>
      </c>
      <c r="E13" s="206">
        <v>1.8</v>
      </c>
      <c r="F13" s="425" t="s">
        <v>524</v>
      </c>
      <c r="G13" s="206">
        <v>1.3</v>
      </c>
      <c r="H13" s="425" t="s">
        <v>527</v>
      </c>
      <c r="I13" s="430">
        <v>2.6</v>
      </c>
      <c r="J13" s="422" t="s">
        <v>528</v>
      </c>
      <c r="K13" s="432">
        <v>2</v>
      </c>
      <c r="L13" s="422" t="s">
        <v>532</v>
      </c>
      <c r="M13" s="432">
        <v>2</v>
      </c>
      <c r="N13" s="230">
        <v>2.184166666666667</v>
      </c>
      <c r="O13" s="102"/>
      <c r="P13" s="163"/>
      <c r="R13" s="42"/>
      <c r="S13" s="300"/>
      <c r="T13" s="301"/>
    </row>
    <row r="14" spans="2:32" ht="70" customHeight="1">
      <c r="B14" s="875"/>
      <c r="C14" s="466" t="s">
        <v>78</v>
      </c>
      <c r="D14" s="121" t="s">
        <v>26</v>
      </c>
      <c r="E14" s="206">
        <v>1.5</v>
      </c>
      <c r="F14" s="121" t="s">
        <v>79</v>
      </c>
      <c r="G14" s="206">
        <v>1</v>
      </c>
      <c r="H14" s="121" t="s">
        <v>80</v>
      </c>
      <c r="I14" s="430">
        <v>2</v>
      </c>
      <c r="J14" s="120" t="s">
        <v>81</v>
      </c>
      <c r="K14" s="432">
        <v>1.5</v>
      </c>
      <c r="L14" s="120" t="s">
        <v>194</v>
      </c>
      <c r="M14" s="432">
        <v>1.5</v>
      </c>
      <c r="N14" s="230">
        <v>1.7017361111111107</v>
      </c>
      <c r="O14" s="102"/>
      <c r="Q14" s="74"/>
      <c r="R14" s="74"/>
      <c r="S14" s="74"/>
      <c r="T14" s="74"/>
    </row>
    <row r="15" spans="2:32" ht="70" customHeight="1">
      <c r="B15" s="875"/>
      <c r="C15" s="466" t="s">
        <v>83</v>
      </c>
      <c r="D15" s="121" t="s">
        <v>25</v>
      </c>
      <c r="E15" s="206">
        <v>1</v>
      </c>
      <c r="F15" s="121" t="s">
        <v>28</v>
      </c>
      <c r="G15" s="206">
        <v>1</v>
      </c>
      <c r="H15" s="121" t="s">
        <v>33</v>
      </c>
      <c r="I15" s="430">
        <v>2</v>
      </c>
      <c r="J15" s="120" t="s">
        <v>84</v>
      </c>
      <c r="K15" s="465">
        <v>1.5</v>
      </c>
      <c r="L15" s="120" t="s">
        <v>195</v>
      </c>
      <c r="M15" s="465">
        <v>1</v>
      </c>
      <c r="N15" s="230">
        <v>1.4180555555555554</v>
      </c>
      <c r="O15" s="102"/>
      <c r="P15" s="112" t="s">
        <v>88</v>
      </c>
    </row>
    <row r="16" spans="2:32" ht="80" customHeight="1">
      <c r="B16" s="875"/>
      <c r="C16" s="466" t="s">
        <v>366</v>
      </c>
      <c r="D16" s="121" t="s">
        <v>290</v>
      </c>
      <c r="E16" s="206">
        <v>1.5</v>
      </c>
      <c r="F16" s="121" t="s">
        <v>29</v>
      </c>
      <c r="G16" s="430">
        <v>1</v>
      </c>
      <c r="H16" s="587" t="s">
        <v>86</v>
      </c>
      <c r="I16" s="430">
        <v>2</v>
      </c>
      <c r="J16" s="120" t="s">
        <v>87</v>
      </c>
      <c r="K16" s="465">
        <v>1</v>
      </c>
      <c r="L16" s="120" t="s">
        <v>196</v>
      </c>
      <c r="M16" s="465">
        <v>1.5</v>
      </c>
      <c r="N16" s="230">
        <v>1.6315972222222221</v>
      </c>
      <c r="O16" s="102"/>
      <c r="P16" s="113" t="s">
        <v>89</v>
      </c>
    </row>
    <row r="17" spans="2:32" ht="80" customHeight="1">
      <c r="B17" s="875"/>
      <c r="C17" s="466" t="s">
        <v>367</v>
      </c>
      <c r="D17" s="121" t="s">
        <v>457</v>
      </c>
      <c r="E17" s="206">
        <v>2</v>
      </c>
      <c r="F17" s="120" t="s">
        <v>292</v>
      </c>
      <c r="G17" s="430">
        <v>1</v>
      </c>
      <c r="H17" s="587" t="s">
        <v>42</v>
      </c>
      <c r="I17" s="430">
        <v>1.5</v>
      </c>
      <c r="J17" s="120" t="s">
        <v>458</v>
      </c>
      <c r="K17" s="465">
        <v>2</v>
      </c>
      <c r="L17" s="120" t="s">
        <v>218</v>
      </c>
      <c r="M17" s="465">
        <v>1.2</v>
      </c>
      <c r="N17" s="230">
        <v>1.7711805555555553</v>
      </c>
      <c r="O17" s="102"/>
      <c r="P17" s="114"/>
    </row>
    <row r="18" spans="2:32" ht="80" customHeight="1">
      <c r="B18" s="875"/>
      <c r="C18" s="158" t="s">
        <v>90</v>
      </c>
      <c r="D18" s="107" t="s">
        <v>294</v>
      </c>
      <c r="E18" s="203">
        <v>1</v>
      </c>
      <c r="F18" s="105" t="s">
        <v>91</v>
      </c>
      <c r="G18" s="211">
        <v>3</v>
      </c>
      <c r="H18" s="106" t="s">
        <v>92</v>
      </c>
      <c r="I18" s="211">
        <v>1.5</v>
      </c>
      <c r="J18" s="105" t="s">
        <v>93</v>
      </c>
      <c r="K18" s="217">
        <v>2</v>
      </c>
      <c r="L18" s="105" t="s">
        <v>197</v>
      </c>
      <c r="M18" s="217">
        <v>1</v>
      </c>
      <c r="N18" s="230">
        <v>2.0093749999999999</v>
      </c>
      <c r="O18" s="102"/>
      <c r="P18" s="115"/>
    </row>
    <row r="19" spans="2:32" ht="90" customHeight="1">
      <c r="B19" s="875"/>
      <c r="C19" s="158" t="s">
        <v>274</v>
      </c>
      <c r="D19" s="107" t="s">
        <v>459</v>
      </c>
      <c r="E19" s="203">
        <v>1.5</v>
      </c>
      <c r="F19" s="105" t="s">
        <v>296</v>
      </c>
      <c r="G19" s="211">
        <v>0.5</v>
      </c>
      <c r="H19" s="106" t="s">
        <v>297</v>
      </c>
      <c r="I19" s="211">
        <v>2</v>
      </c>
      <c r="J19" s="105" t="s">
        <v>299</v>
      </c>
      <c r="K19" s="211">
        <v>1</v>
      </c>
      <c r="L19" s="105" t="s">
        <v>298</v>
      </c>
      <c r="M19" s="211">
        <v>1.5</v>
      </c>
      <c r="N19" s="224">
        <v>1.6</v>
      </c>
      <c r="O19" s="102"/>
    </row>
    <row r="20" spans="2:32" ht="70" customHeight="1" thickBot="1">
      <c r="B20" s="876"/>
      <c r="C20" s="173" t="s">
        <v>368</v>
      </c>
      <c r="D20" s="107" t="s">
        <v>300</v>
      </c>
      <c r="E20" s="203">
        <v>0.5</v>
      </c>
      <c r="F20" s="105" t="s">
        <v>30</v>
      </c>
      <c r="G20" s="211">
        <v>1.5</v>
      </c>
      <c r="H20" s="106" t="s">
        <v>35</v>
      </c>
      <c r="I20" s="211">
        <v>1</v>
      </c>
      <c r="J20" s="107" t="s">
        <v>94</v>
      </c>
      <c r="K20" s="217">
        <v>0.5</v>
      </c>
      <c r="L20" s="107" t="s">
        <v>198</v>
      </c>
      <c r="M20" s="217">
        <v>1</v>
      </c>
      <c r="N20" s="230">
        <v>1.101736111111111</v>
      </c>
      <c r="O20" s="102"/>
      <c r="P20" s="114"/>
    </row>
    <row r="21" spans="2:32" ht="70" customHeight="1" thickBot="1">
      <c r="B21" s="108" t="s">
        <v>253</v>
      </c>
      <c r="C21" s="174" t="s">
        <v>99</v>
      </c>
      <c r="D21" s="116" t="s">
        <v>258</v>
      </c>
      <c r="E21" s="239">
        <v>1.5</v>
      </c>
      <c r="F21" s="116" t="s">
        <v>27</v>
      </c>
      <c r="G21" s="238">
        <v>1</v>
      </c>
      <c r="H21" s="117" t="s">
        <v>267</v>
      </c>
      <c r="I21" s="238">
        <v>2</v>
      </c>
      <c r="J21" s="118" t="s">
        <v>101</v>
      </c>
      <c r="K21" s="231">
        <v>1.5</v>
      </c>
      <c r="L21" s="118" t="s">
        <v>323</v>
      </c>
      <c r="M21" s="231">
        <v>1</v>
      </c>
      <c r="N21" s="229">
        <v>1.5767361111111109</v>
      </c>
      <c r="O21" s="102"/>
      <c r="P21" s="114"/>
    </row>
    <row r="22" spans="2:32" ht="80" customHeight="1">
      <c r="B22" s="877" t="s">
        <v>275</v>
      </c>
      <c r="C22" s="142" t="s">
        <v>360</v>
      </c>
      <c r="D22" s="101" t="s">
        <v>200</v>
      </c>
      <c r="E22" s="202">
        <v>1.5</v>
      </c>
      <c r="F22" s="101" t="s">
        <v>36</v>
      </c>
      <c r="G22" s="213">
        <v>1</v>
      </c>
      <c r="H22" s="101" t="s">
        <v>102</v>
      </c>
      <c r="I22" s="213">
        <v>2</v>
      </c>
      <c r="J22" s="101" t="s">
        <v>103</v>
      </c>
      <c r="K22" s="213">
        <v>0.5</v>
      </c>
      <c r="L22" s="101" t="s">
        <v>199</v>
      </c>
      <c r="M22" s="216">
        <v>0.25</v>
      </c>
      <c r="N22" s="222">
        <v>1.2489583333333332</v>
      </c>
      <c r="O22" s="102"/>
      <c r="P22" s="119"/>
    </row>
    <row r="23" spans="2:32" ht="120" customHeight="1">
      <c r="B23" s="878"/>
      <c r="C23" s="148" t="s">
        <v>365</v>
      </c>
      <c r="D23" s="107" t="s">
        <v>221</v>
      </c>
      <c r="E23" s="203">
        <v>1.5</v>
      </c>
      <c r="F23" s="105" t="s">
        <v>224</v>
      </c>
      <c r="G23" s="211">
        <v>1.5</v>
      </c>
      <c r="H23" s="106" t="s">
        <v>95</v>
      </c>
      <c r="I23" s="211">
        <v>2</v>
      </c>
      <c r="J23" s="120" t="s">
        <v>96</v>
      </c>
      <c r="K23" s="211">
        <v>1</v>
      </c>
      <c r="L23" s="105" t="s">
        <v>217</v>
      </c>
      <c r="M23" s="217">
        <v>2.5</v>
      </c>
      <c r="N23" s="224">
        <v>2.0329861111111112</v>
      </c>
      <c r="O23" s="102"/>
      <c r="P23" s="115"/>
    </row>
    <row r="24" spans="2:32" ht="90" customHeight="1" thickBot="1">
      <c r="B24" s="879"/>
      <c r="C24" s="148" t="s">
        <v>364</v>
      </c>
      <c r="D24" s="121" t="s">
        <v>325</v>
      </c>
      <c r="E24" s="206">
        <v>1.5</v>
      </c>
      <c r="F24" s="107" t="s">
        <v>223</v>
      </c>
      <c r="G24" s="211">
        <v>1</v>
      </c>
      <c r="H24" s="106" t="s">
        <v>97</v>
      </c>
      <c r="I24" s="211">
        <v>1.5</v>
      </c>
      <c r="J24" s="120" t="s">
        <v>98</v>
      </c>
      <c r="K24" s="211">
        <v>1</v>
      </c>
      <c r="L24" s="105" t="s">
        <v>216</v>
      </c>
      <c r="M24" s="217">
        <v>2</v>
      </c>
      <c r="N24" s="230">
        <v>1.6722222222222221</v>
      </c>
      <c r="O24" s="102"/>
      <c r="P24" s="115"/>
    </row>
    <row r="25" spans="2:32" ht="70" customHeight="1" thickBot="1">
      <c r="B25" s="122" t="s">
        <v>253</v>
      </c>
      <c r="C25" s="151" t="s">
        <v>363</v>
      </c>
      <c r="D25" s="126" t="s">
        <v>255</v>
      </c>
      <c r="E25" s="204">
        <v>1</v>
      </c>
      <c r="F25" s="126" t="s">
        <v>220</v>
      </c>
      <c r="G25" s="214">
        <v>1</v>
      </c>
      <c r="H25" s="191" t="s">
        <v>219</v>
      </c>
      <c r="I25" s="214">
        <v>1.5</v>
      </c>
      <c r="J25" s="118" t="s">
        <v>98</v>
      </c>
      <c r="K25" s="214">
        <v>1</v>
      </c>
      <c r="L25" s="127" t="s">
        <v>216</v>
      </c>
      <c r="M25" s="218">
        <v>1.5</v>
      </c>
      <c r="N25" s="225">
        <v>1.3885416666666663</v>
      </c>
      <c r="O25" s="102"/>
      <c r="P25" s="115"/>
    </row>
    <row r="26" spans="2:32" ht="70" customHeight="1" thickBot="1">
      <c r="B26" s="241" t="s">
        <v>11</v>
      </c>
      <c r="C26" s="192" t="s">
        <v>190</v>
      </c>
      <c r="D26" s="187" t="s">
        <v>303</v>
      </c>
      <c r="E26" s="240">
        <v>0.2</v>
      </c>
      <c r="F26" s="188" t="s">
        <v>302</v>
      </c>
      <c r="G26" s="235">
        <v>1</v>
      </c>
      <c r="H26" s="189" t="s">
        <v>225</v>
      </c>
      <c r="I26" s="235">
        <v>1</v>
      </c>
      <c r="J26" s="188" t="s">
        <v>105</v>
      </c>
      <c r="K26" s="235">
        <v>2</v>
      </c>
      <c r="L26" s="188" t="s">
        <v>226</v>
      </c>
      <c r="M26" s="232">
        <v>2</v>
      </c>
      <c r="N26" s="227">
        <v>1.3</v>
      </c>
      <c r="O26" s="102"/>
      <c r="P26" s="115"/>
    </row>
    <row r="27" spans="2:32" ht="60.75" customHeight="1" thickBot="1">
      <c r="B27" s="122" t="s">
        <v>253</v>
      </c>
      <c r="C27" s="193" t="s">
        <v>222</v>
      </c>
      <c r="D27" s="194" t="s">
        <v>301</v>
      </c>
      <c r="E27" s="207">
        <v>0.2</v>
      </c>
      <c r="F27" s="195" t="s">
        <v>302</v>
      </c>
      <c r="G27" s="236">
        <v>1</v>
      </c>
      <c r="H27" s="190" t="s">
        <v>39</v>
      </c>
      <c r="I27" s="236">
        <v>1</v>
      </c>
      <c r="J27" s="195" t="s">
        <v>104</v>
      </c>
      <c r="K27" s="236">
        <v>1</v>
      </c>
      <c r="L27" s="195" t="s">
        <v>201</v>
      </c>
      <c r="M27" s="233">
        <v>1</v>
      </c>
      <c r="N27" s="228">
        <v>0.9</v>
      </c>
      <c r="O27" s="102"/>
      <c r="P27" s="115"/>
    </row>
    <row r="28" spans="2:32" ht="56">
      <c r="B28" s="874" t="s">
        <v>8</v>
      </c>
      <c r="C28" s="153" t="s">
        <v>334</v>
      </c>
      <c r="D28" s="123" t="s">
        <v>304</v>
      </c>
      <c r="E28" s="208">
        <v>2.5</v>
      </c>
      <c r="F28" s="124" t="s">
        <v>41</v>
      </c>
      <c r="G28" s="237">
        <v>2</v>
      </c>
      <c r="H28" s="125" t="s">
        <v>43</v>
      </c>
      <c r="I28" s="237">
        <v>2.5</v>
      </c>
      <c r="J28" s="124" t="s">
        <v>106</v>
      </c>
      <c r="K28" s="237">
        <v>1.5</v>
      </c>
      <c r="L28" s="124" t="s">
        <v>609</v>
      </c>
      <c r="M28" s="220">
        <v>3</v>
      </c>
      <c r="N28" s="223">
        <v>2.78125</v>
      </c>
      <c r="O28" s="102"/>
      <c r="P28" s="115"/>
    </row>
    <row r="29" spans="2:32" ht="77.25" customHeight="1">
      <c r="B29" s="875"/>
      <c r="C29" s="148" t="s">
        <v>605</v>
      </c>
      <c r="D29" s="107" t="s">
        <v>202</v>
      </c>
      <c r="E29" s="203">
        <v>2.2000000000000002</v>
      </c>
      <c r="F29" s="105" t="s">
        <v>352</v>
      </c>
      <c r="G29" s="211">
        <v>1.5</v>
      </c>
      <c r="H29" s="106" t="s">
        <v>44</v>
      </c>
      <c r="I29" s="211">
        <v>1</v>
      </c>
      <c r="J29" s="105" t="s">
        <v>108</v>
      </c>
      <c r="K29" s="211">
        <v>1</v>
      </c>
      <c r="L29" s="105" t="s">
        <v>608</v>
      </c>
      <c r="M29" s="217">
        <v>3</v>
      </c>
      <c r="N29" s="224">
        <v>2.2113888888888886</v>
      </c>
      <c r="O29" s="102"/>
      <c r="P29" s="115"/>
    </row>
    <row r="30" spans="2:32" ht="70" customHeight="1">
      <c r="B30" s="875"/>
      <c r="C30" s="148" t="s">
        <v>606</v>
      </c>
      <c r="D30" s="107" t="s">
        <v>306</v>
      </c>
      <c r="E30" s="203">
        <v>1</v>
      </c>
      <c r="F30" s="105" t="s">
        <v>607</v>
      </c>
      <c r="G30" s="203">
        <v>1</v>
      </c>
      <c r="H30" s="106" t="s">
        <v>44</v>
      </c>
      <c r="I30" s="203">
        <v>0.5</v>
      </c>
      <c r="J30" s="105" t="s">
        <v>612</v>
      </c>
      <c r="K30" s="203">
        <v>1.5</v>
      </c>
      <c r="L30" s="105" t="s">
        <v>613</v>
      </c>
      <c r="M30" s="217">
        <v>2.5</v>
      </c>
      <c r="N30" s="230">
        <v>1.5229166666666665</v>
      </c>
      <c r="O30" s="102"/>
      <c r="P30" s="115"/>
    </row>
    <row r="31" spans="2:32" ht="90" customHeight="1">
      <c r="B31" s="875"/>
      <c r="C31" s="148" t="s">
        <v>335</v>
      </c>
      <c r="D31" s="107" t="s">
        <v>307</v>
      </c>
      <c r="E31" s="203">
        <v>3</v>
      </c>
      <c r="F31" s="105" t="s">
        <v>40</v>
      </c>
      <c r="G31" s="203">
        <v>2</v>
      </c>
      <c r="H31" s="106" t="s">
        <v>109</v>
      </c>
      <c r="I31" s="203">
        <v>1.5</v>
      </c>
      <c r="J31" s="105" t="s">
        <v>110</v>
      </c>
      <c r="K31" s="203">
        <v>2</v>
      </c>
      <c r="L31" s="105" t="s">
        <v>213</v>
      </c>
      <c r="M31" s="234">
        <v>3</v>
      </c>
      <c r="N31" s="230">
        <v>2.8413194444444443</v>
      </c>
      <c r="O31" s="102"/>
      <c r="P31" s="115"/>
    </row>
    <row r="32" spans="2:32" s="131" customFormat="1" ht="70" customHeight="1">
      <c r="B32" s="875"/>
      <c r="C32" s="151" t="s">
        <v>337</v>
      </c>
      <c r="D32" s="116" t="s">
        <v>256</v>
      </c>
      <c r="E32" s="239">
        <v>2</v>
      </c>
      <c r="F32" s="118" t="s">
        <v>206</v>
      </c>
      <c r="G32" s="238">
        <v>2</v>
      </c>
      <c r="H32" s="182" t="s">
        <v>326</v>
      </c>
      <c r="I32" s="238">
        <v>1.5</v>
      </c>
      <c r="J32" s="118" t="s">
        <v>111</v>
      </c>
      <c r="K32" s="214">
        <v>1.2</v>
      </c>
      <c r="L32" s="127" t="s">
        <v>215</v>
      </c>
      <c r="M32" s="218">
        <v>3</v>
      </c>
      <c r="N32" s="229">
        <v>2.4117361111111109</v>
      </c>
      <c r="O32" s="129"/>
      <c r="P32" s="130"/>
      <c r="Q32" s="128"/>
      <c r="R32" s="128"/>
      <c r="S32" s="128"/>
      <c r="T32" s="128"/>
      <c r="U32" s="128"/>
      <c r="V32" s="128"/>
      <c r="W32" s="128"/>
      <c r="X32" s="128"/>
      <c r="Y32" s="128"/>
      <c r="Z32" s="128"/>
      <c r="AA32" s="128"/>
      <c r="AB32" s="128"/>
      <c r="AC32" s="128"/>
      <c r="AD32" s="128"/>
      <c r="AE32" s="128"/>
      <c r="AF32" s="128"/>
    </row>
    <row r="33" spans="2:32" s="131" customFormat="1" ht="110" customHeight="1" thickBot="1">
      <c r="B33" s="876"/>
      <c r="C33" s="148" t="s">
        <v>277</v>
      </c>
      <c r="D33" s="107" t="s">
        <v>309</v>
      </c>
      <c r="E33" s="203">
        <v>2</v>
      </c>
      <c r="F33" s="105" t="s">
        <v>310</v>
      </c>
      <c r="G33" s="211">
        <v>1.5</v>
      </c>
      <c r="H33" s="106" t="s">
        <v>311</v>
      </c>
      <c r="I33" s="211">
        <v>0</v>
      </c>
      <c r="J33" s="105" t="s">
        <v>312</v>
      </c>
      <c r="K33" s="211">
        <v>1</v>
      </c>
      <c r="L33" s="105" t="s">
        <v>313</v>
      </c>
      <c r="M33" s="211">
        <v>1.5</v>
      </c>
      <c r="N33" s="230">
        <v>1.6</v>
      </c>
      <c r="O33" s="129"/>
      <c r="P33" s="130"/>
      <c r="Q33" s="128"/>
      <c r="R33" s="128"/>
      <c r="S33" s="128"/>
      <c r="T33" s="128"/>
      <c r="U33" s="128"/>
      <c r="V33" s="128"/>
      <c r="W33" s="128"/>
      <c r="X33" s="128"/>
      <c r="Y33" s="128"/>
      <c r="Z33" s="128"/>
      <c r="AA33" s="128"/>
      <c r="AB33" s="128"/>
      <c r="AC33" s="128"/>
      <c r="AD33" s="128"/>
      <c r="AE33" s="128"/>
      <c r="AF33" s="128"/>
    </row>
    <row r="34" spans="2:32" s="131" customFormat="1" ht="70" customHeight="1" thickBot="1">
      <c r="B34" s="181" t="s">
        <v>253</v>
      </c>
      <c r="C34" s="148" t="s">
        <v>336</v>
      </c>
      <c r="D34" s="107" t="s">
        <v>204</v>
      </c>
      <c r="E34" s="203">
        <v>1.5</v>
      </c>
      <c r="F34" s="105" t="s">
        <v>45</v>
      </c>
      <c r="G34" s="211">
        <v>1</v>
      </c>
      <c r="H34" s="106" t="s">
        <v>46</v>
      </c>
      <c r="I34" s="211">
        <v>0</v>
      </c>
      <c r="J34" s="105" t="s">
        <v>111</v>
      </c>
      <c r="K34" s="211">
        <v>1.5</v>
      </c>
      <c r="L34" s="105" t="s">
        <v>308</v>
      </c>
      <c r="M34" s="217">
        <v>1.5</v>
      </c>
      <c r="N34" s="229">
        <v>1.364236111111111</v>
      </c>
      <c r="O34" s="129"/>
      <c r="P34" s="130"/>
      <c r="Q34" s="128"/>
      <c r="R34" s="36"/>
      <c r="S34" s="36"/>
      <c r="T34" s="36"/>
      <c r="U34" s="128"/>
      <c r="V34" s="128"/>
      <c r="W34" s="128"/>
      <c r="X34" s="128"/>
      <c r="Y34" s="128"/>
      <c r="Z34" s="128"/>
      <c r="AA34" s="128"/>
      <c r="AB34" s="128"/>
      <c r="AC34" s="128"/>
      <c r="AD34" s="128"/>
      <c r="AE34" s="128"/>
      <c r="AF34" s="128"/>
    </row>
    <row r="35" spans="2:32" ht="70" customHeight="1">
      <c r="B35" s="874" t="s">
        <v>18</v>
      </c>
      <c r="C35" s="183" t="s">
        <v>348</v>
      </c>
      <c r="D35" s="178" t="s">
        <v>314</v>
      </c>
      <c r="E35" s="209">
        <v>1</v>
      </c>
      <c r="F35" s="179" t="s">
        <v>47</v>
      </c>
      <c r="G35" s="212">
        <v>0.5</v>
      </c>
      <c r="H35" s="180" t="s">
        <v>46</v>
      </c>
      <c r="I35" s="212">
        <v>0</v>
      </c>
      <c r="J35" s="179" t="s">
        <v>112</v>
      </c>
      <c r="K35" s="221">
        <v>0.5</v>
      </c>
      <c r="L35" s="179" t="s">
        <v>315</v>
      </c>
      <c r="M35" s="221">
        <v>0.5</v>
      </c>
      <c r="N35" s="222">
        <v>0.66388888888888875</v>
      </c>
      <c r="O35" s="102"/>
      <c r="P35" s="115"/>
    </row>
    <row r="36" spans="2:32" ht="70" customHeight="1">
      <c r="B36" s="875"/>
      <c r="C36" s="158" t="s">
        <v>349</v>
      </c>
      <c r="D36" s="107" t="s">
        <v>207</v>
      </c>
      <c r="E36" s="203">
        <v>1</v>
      </c>
      <c r="F36" s="105" t="s">
        <v>316</v>
      </c>
      <c r="G36" s="211">
        <v>0.5</v>
      </c>
      <c r="H36" s="106" t="s">
        <v>48</v>
      </c>
      <c r="I36" s="211">
        <v>1</v>
      </c>
      <c r="J36" s="105" t="s">
        <v>113</v>
      </c>
      <c r="K36" s="217">
        <v>0.5</v>
      </c>
      <c r="L36" s="105" t="s">
        <v>324</v>
      </c>
      <c r="M36" s="217">
        <v>0.5</v>
      </c>
      <c r="N36" s="224">
        <v>0.83263888888888871</v>
      </c>
      <c r="O36" s="102"/>
      <c r="P36" s="115"/>
    </row>
    <row r="37" spans="2:32" ht="70" customHeight="1">
      <c r="B37" s="875"/>
      <c r="C37" s="156" t="s">
        <v>156</v>
      </c>
      <c r="D37" s="107" t="s">
        <v>211</v>
      </c>
      <c r="E37" s="203">
        <v>0.5</v>
      </c>
      <c r="F37" s="105" t="s">
        <v>317</v>
      </c>
      <c r="G37" s="211">
        <v>1</v>
      </c>
      <c r="H37" s="106" t="s">
        <v>318</v>
      </c>
      <c r="I37" s="211">
        <v>1</v>
      </c>
      <c r="J37" s="105" t="s">
        <v>37</v>
      </c>
      <c r="K37" s="217">
        <v>1</v>
      </c>
      <c r="L37" s="105" t="s">
        <v>208</v>
      </c>
      <c r="M37" s="217">
        <v>0.5</v>
      </c>
      <c r="N37" s="224">
        <v>0.89548611111111109</v>
      </c>
      <c r="O37" s="102"/>
      <c r="P37" s="115"/>
    </row>
    <row r="38" spans="2:32" ht="70" customHeight="1">
      <c r="B38" s="875"/>
      <c r="C38" s="158" t="s">
        <v>155</v>
      </c>
      <c r="D38" s="107" t="s">
        <v>211</v>
      </c>
      <c r="E38" s="203">
        <v>0.5</v>
      </c>
      <c r="F38" s="105" t="s">
        <v>317</v>
      </c>
      <c r="G38" s="211">
        <v>1</v>
      </c>
      <c r="H38" s="106" t="s">
        <v>318</v>
      </c>
      <c r="I38" s="211">
        <v>1</v>
      </c>
      <c r="J38" s="105" t="s">
        <v>37</v>
      </c>
      <c r="K38" s="217">
        <v>1</v>
      </c>
      <c r="L38" s="105" t="s">
        <v>209</v>
      </c>
      <c r="M38" s="217">
        <v>0.5</v>
      </c>
      <c r="N38" s="224">
        <v>0.89548611111111109</v>
      </c>
      <c r="O38" s="102"/>
      <c r="P38" s="115"/>
    </row>
    <row r="39" spans="2:32" ht="70" customHeight="1">
      <c r="B39" s="875"/>
      <c r="C39" s="158" t="s">
        <v>347</v>
      </c>
      <c r="D39" s="132" t="s">
        <v>179</v>
      </c>
      <c r="E39" s="203">
        <v>1</v>
      </c>
      <c r="F39" s="132" t="s">
        <v>114</v>
      </c>
      <c r="G39" s="203">
        <v>1</v>
      </c>
      <c r="H39" s="106" t="s">
        <v>180</v>
      </c>
      <c r="I39" s="211">
        <v>1</v>
      </c>
      <c r="J39" s="105" t="s">
        <v>181</v>
      </c>
      <c r="K39" s="217">
        <v>0.5</v>
      </c>
      <c r="L39" s="105" t="s">
        <v>210</v>
      </c>
      <c r="M39" s="217">
        <v>0.5</v>
      </c>
      <c r="N39" s="224">
        <v>0.98402777777777772</v>
      </c>
      <c r="O39" s="102"/>
      <c r="P39" s="115"/>
    </row>
    <row r="40" spans="2:32" ht="70" customHeight="1">
      <c r="B40" s="875"/>
      <c r="C40" s="158" t="s">
        <v>115</v>
      </c>
      <c r="D40" s="107" t="s">
        <v>319</v>
      </c>
      <c r="E40" s="203">
        <v>0.5</v>
      </c>
      <c r="F40" s="105" t="s">
        <v>116</v>
      </c>
      <c r="G40" s="211">
        <v>1</v>
      </c>
      <c r="H40" s="106" t="s">
        <v>50</v>
      </c>
      <c r="I40" s="211">
        <v>0</v>
      </c>
      <c r="J40" s="133" t="s">
        <v>49</v>
      </c>
      <c r="K40" s="217">
        <v>0</v>
      </c>
      <c r="L40" s="133" t="s">
        <v>320</v>
      </c>
      <c r="M40" s="217">
        <v>1</v>
      </c>
      <c r="N40" s="224">
        <v>0.71145833333333319</v>
      </c>
      <c r="O40" s="102"/>
      <c r="P40" s="115"/>
    </row>
    <row r="41" spans="2:32" ht="70" customHeight="1" thickBot="1">
      <c r="B41" s="876"/>
      <c r="C41" s="466" t="s">
        <v>480</v>
      </c>
      <c r="D41" s="425" t="s">
        <v>556</v>
      </c>
      <c r="E41" s="206">
        <v>1</v>
      </c>
      <c r="F41" s="468" t="s">
        <v>114</v>
      </c>
      <c r="G41" s="430">
        <v>0.5</v>
      </c>
      <c r="H41" s="426" t="s">
        <v>50</v>
      </c>
      <c r="I41" s="430">
        <v>0</v>
      </c>
      <c r="J41" s="474" t="s">
        <v>552</v>
      </c>
      <c r="K41" s="211">
        <v>0.5</v>
      </c>
      <c r="L41" s="422" t="s">
        <v>558</v>
      </c>
      <c r="M41" s="217">
        <v>0.5</v>
      </c>
      <c r="N41" s="224">
        <v>0.66388888888888875</v>
      </c>
      <c r="O41" s="102"/>
      <c r="P41" s="115"/>
    </row>
    <row r="42" spans="2:32" ht="70" customHeight="1" thickBot="1">
      <c r="B42" s="108" t="s">
        <v>253</v>
      </c>
      <c r="C42" s="467" t="s">
        <v>548</v>
      </c>
      <c r="D42" s="469" t="s">
        <v>550</v>
      </c>
      <c r="E42" s="205">
        <v>1</v>
      </c>
      <c r="F42" s="471" t="s">
        <v>551</v>
      </c>
      <c r="G42" s="473">
        <v>0</v>
      </c>
      <c r="H42" s="470" t="s">
        <v>50</v>
      </c>
      <c r="I42" s="473">
        <v>0</v>
      </c>
      <c r="J42" s="475" t="s">
        <v>557</v>
      </c>
      <c r="K42" s="473">
        <v>0.5</v>
      </c>
      <c r="L42" s="471" t="s">
        <v>555</v>
      </c>
      <c r="M42" s="472">
        <v>0.5</v>
      </c>
      <c r="N42" s="226">
        <v>0.51249999999999996</v>
      </c>
      <c r="O42" s="102"/>
      <c r="P42" s="115"/>
    </row>
    <row r="43" spans="2:32" s="131" customFormat="1" ht="20" customHeight="1">
      <c r="B43" s="134"/>
      <c r="C43" s="74"/>
      <c r="D43" s="135"/>
      <c r="E43" s="42"/>
      <c r="F43" s="135"/>
      <c r="G43" s="42"/>
      <c r="H43" s="136"/>
      <c r="I43" s="42"/>
      <c r="J43" s="135"/>
      <c r="K43" s="42"/>
      <c r="L43" s="135"/>
      <c r="M43" s="42"/>
      <c r="N43" s="23"/>
      <c r="O43" s="128"/>
      <c r="Q43" s="128"/>
      <c r="R43" s="36"/>
      <c r="S43" s="36"/>
      <c r="T43" s="36"/>
      <c r="U43" s="128"/>
      <c r="V43" s="128"/>
      <c r="W43" s="128"/>
      <c r="X43" s="128"/>
      <c r="Y43" s="128"/>
      <c r="Z43" s="128"/>
      <c r="AA43" s="128"/>
      <c r="AB43" s="128"/>
      <c r="AC43" s="128"/>
      <c r="AD43" s="128"/>
      <c r="AE43" s="128"/>
      <c r="AF43" s="128"/>
    </row>
    <row r="44" spans="2:32" ht="20" customHeight="1">
      <c r="B44" s="97" t="s">
        <v>143</v>
      </c>
    </row>
    <row r="45" spans="2:32" ht="20" customHeight="1">
      <c r="B45" s="93">
        <v>1</v>
      </c>
      <c r="C45" s="93" t="s">
        <v>131</v>
      </c>
      <c r="H45" s="74"/>
    </row>
    <row r="46" spans="2:32" ht="20" customHeight="1">
      <c r="B46" s="93">
        <v>2</v>
      </c>
      <c r="C46" s="93" t="s">
        <v>132</v>
      </c>
    </row>
    <row r="47" spans="2:32" ht="20" customHeight="1">
      <c r="B47" s="93">
        <v>3</v>
      </c>
      <c r="C47" s="137" t="s">
        <v>183</v>
      </c>
    </row>
    <row r="48" spans="2:32" ht="20" customHeight="1">
      <c r="B48" s="93">
        <v>4</v>
      </c>
      <c r="C48" s="93" t="s">
        <v>133</v>
      </c>
    </row>
    <row r="49" spans="2:23" ht="20" customHeight="1">
      <c r="B49" s="93">
        <v>5</v>
      </c>
      <c r="C49" s="93" t="s">
        <v>134</v>
      </c>
    </row>
    <row r="50" spans="2:23" ht="20" customHeight="1">
      <c r="B50" s="93">
        <v>6</v>
      </c>
      <c r="C50" s="93" t="s">
        <v>135</v>
      </c>
    </row>
    <row r="51" spans="2:23" ht="20" customHeight="1">
      <c r="B51" s="93">
        <v>7</v>
      </c>
      <c r="C51" s="93" t="s">
        <v>136</v>
      </c>
    </row>
    <row r="52" spans="2:23" ht="20" customHeight="1">
      <c r="B52" s="93">
        <v>8</v>
      </c>
      <c r="C52" s="137" t="s">
        <v>184</v>
      </c>
    </row>
    <row r="53" spans="2:23" ht="20" customHeight="1">
      <c r="B53" s="93">
        <v>9</v>
      </c>
      <c r="C53" s="93" t="s">
        <v>137</v>
      </c>
    </row>
    <row r="54" spans="2:23" ht="20" customHeight="1">
      <c r="B54" s="93">
        <v>10</v>
      </c>
      <c r="C54" s="93" t="s">
        <v>138</v>
      </c>
    </row>
    <row r="55" spans="2:23" ht="20" customHeight="1">
      <c r="B55" s="93">
        <v>11</v>
      </c>
      <c r="C55" s="93" t="s">
        <v>139</v>
      </c>
    </row>
    <row r="56" spans="2:23" ht="20" customHeight="1">
      <c r="B56" s="93">
        <v>12</v>
      </c>
      <c r="C56" s="93" t="s">
        <v>140</v>
      </c>
    </row>
    <row r="57" spans="2:23" ht="20" customHeight="1">
      <c r="B57" s="93">
        <v>13</v>
      </c>
      <c r="C57" s="137" t="s">
        <v>185</v>
      </c>
    </row>
    <row r="58" spans="2:23" ht="20" customHeight="1">
      <c r="B58" s="93">
        <v>14</v>
      </c>
      <c r="C58" s="93" t="s">
        <v>141</v>
      </c>
    </row>
    <row r="59" spans="2:23" ht="20" customHeight="1">
      <c r="B59" s="93">
        <v>15</v>
      </c>
      <c r="C59" s="93" t="s">
        <v>142</v>
      </c>
    </row>
    <row r="60" spans="2:23" ht="20" customHeight="1">
      <c r="B60" s="93">
        <v>16</v>
      </c>
      <c r="C60" s="93" t="s">
        <v>159</v>
      </c>
      <c r="I60" s="135"/>
      <c r="K60" s="135"/>
      <c r="M60" s="135"/>
      <c r="N60" s="135"/>
    </row>
    <row r="61" spans="2:23" ht="20" customHeight="1">
      <c r="B61" s="93">
        <v>17</v>
      </c>
      <c r="C61" s="138" t="s">
        <v>160</v>
      </c>
      <c r="I61" s="135"/>
      <c r="K61" s="135"/>
      <c r="M61" s="135"/>
      <c r="N61" s="135"/>
    </row>
    <row r="62" spans="2:23" ht="20" customHeight="1">
      <c r="B62" s="93">
        <v>18</v>
      </c>
      <c r="C62" s="93" t="s">
        <v>161</v>
      </c>
      <c r="I62" s="135"/>
      <c r="K62" s="135"/>
      <c r="M62" s="135"/>
      <c r="N62" s="135"/>
    </row>
    <row r="63" spans="2:23">
      <c r="I63" s="135"/>
      <c r="K63" s="135"/>
      <c r="M63" s="135"/>
      <c r="N63" s="135"/>
      <c r="O63" s="135"/>
      <c r="P63" s="135"/>
      <c r="Q63" s="135"/>
      <c r="R63" s="135"/>
      <c r="S63" s="135"/>
      <c r="T63" s="135"/>
      <c r="U63" s="135"/>
      <c r="V63" s="135"/>
      <c r="W63" s="135"/>
    </row>
    <row r="64" spans="2:23">
      <c r="I64" s="135"/>
      <c r="K64" s="135"/>
      <c r="M64" s="135"/>
      <c r="N64" s="135"/>
      <c r="O64" s="135"/>
      <c r="P64" s="135"/>
      <c r="Q64" s="135"/>
      <c r="R64" s="135"/>
      <c r="S64" s="135"/>
      <c r="T64" s="135"/>
      <c r="U64" s="135"/>
      <c r="V64" s="135"/>
      <c r="W64" s="135"/>
    </row>
    <row r="65" spans="9:23">
      <c r="I65" s="135"/>
      <c r="K65" s="135"/>
      <c r="M65" s="135"/>
      <c r="N65" s="135"/>
      <c r="O65" s="135"/>
      <c r="P65" s="135"/>
      <c r="Q65" s="135"/>
      <c r="R65" s="135"/>
      <c r="S65" s="135"/>
      <c r="T65" s="135"/>
      <c r="U65" s="135"/>
      <c r="V65" s="135"/>
      <c r="W65" s="135"/>
    </row>
    <row r="66" spans="9:23">
      <c r="I66" s="135"/>
      <c r="K66" s="135"/>
      <c r="M66" s="135"/>
      <c r="N66" s="135"/>
      <c r="O66" s="135"/>
      <c r="P66" s="135"/>
      <c r="Q66" s="135"/>
      <c r="R66" s="135"/>
      <c r="S66" s="135"/>
      <c r="T66" s="135"/>
      <c r="U66" s="135"/>
      <c r="V66" s="135"/>
      <c r="W66" s="135"/>
    </row>
    <row r="67" spans="9:23">
      <c r="I67" s="135"/>
      <c r="K67" s="135"/>
      <c r="M67" s="135"/>
      <c r="N67" s="135"/>
      <c r="O67" s="135"/>
      <c r="P67" s="135"/>
      <c r="Q67" s="135"/>
      <c r="R67" s="135"/>
      <c r="S67" s="135"/>
      <c r="T67" s="135"/>
      <c r="U67" s="135"/>
      <c r="V67" s="135"/>
      <c r="W67" s="135"/>
    </row>
    <row r="68" spans="9:23">
      <c r="I68" s="135"/>
      <c r="K68" s="135"/>
      <c r="M68" s="135"/>
      <c r="N68" s="135"/>
      <c r="O68" s="135"/>
      <c r="P68" s="135"/>
      <c r="Q68" s="135"/>
      <c r="R68" s="135"/>
      <c r="S68" s="135"/>
      <c r="T68" s="135"/>
      <c r="U68" s="135"/>
      <c r="V68" s="135"/>
      <c r="W68" s="135"/>
    </row>
    <row r="69" spans="9:23">
      <c r="I69" s="135"/>
      <c r="K69" s="135"/>
      <c r="M69" s="135"/>
      <c r="N69" s="135"/>
      <c r="O69" s="135"/>
      <c r="P69" s="135"/>
      <c r="Q69" s="135"/>
      <c r="R69" s="135"/>
      <c r="S69" s="135"/>
      <c r="T69" s="135"/>
      <c r="U69" s="135"/>
      <c r="V69" s="135"/>
      <c r="W69" s="135"/>
    </row>
    <row r="70" spans="9:23">
      <c r="I70" s="135"/>
      <c r="K70" s="135"/>
      <c r="M70" s="135"/>
      <c r="N70" s="135"/>
      <c r="O70" s="135"/>
      <c r="P70" s="135"/>
      <c r="Q70" s="135"/>
      <c r="R70" s="135"/>
      <c r="S70" s="135"/>
      <c r="T70" s="135"/>
      <c r="U70" s="135"/>
      <c r="V70" s="135"/>
      <c r="W70" s="135"/>
    </row>
    <row r="71" spans="9:23">
      <c r="I71" s="135"/>
      <c r="K71" s="135"/>
      <c r="M71" s="135"/>
      <c r="N71" s="135"/>
      <c r="O71" s="135"/>
      <c r="P71" s="135"/>
      <c r="Q71" s="135"/>
      <c r="R71" s="135"/>
      <c r="S71" s="135"/>
      <c r="T71" s="135"/>
      <c r="U71" s="135"/>
      <c r="V71" s="135"/>
      <c r="W71" s="135"/>
    </row>
    <row r="72" spans="9:23">
      <c r="I72" s="135"/>
      <c r="K72" s="135"/>
      <c r="M72" s="135"/>
      <c r="N72" s="135"/>
      <c r="O72" s="135"/>
      <c r="P72" s="135"/>
      <c r="Q72" s="135"/>
      <c r="R72" s="135"/>
      <c r="S72" s="135"/>
      <c r="T72" s="135"/>
      <c r="U72" s="135"/>
      <c r="V72" s="135"/>
      <c r="W72" s="135"/>
    </row>
    <row r="73" spans="9:23">
      <c r="I73" s="135"/>
      <c r="K73" s="135"/>
      <c r="M73" s="135"/>
      <c r="N73" s="135"/>
      <c r="O73" s="135"/>
      <c r="P73" s="135"/>
      <c r="Q73" s="135"/>
      <c r="R73" s="135"/>
      <c r="S73" s="135"/>
      <c r="T73" s="135"/>
      <c r="U73" s="135"/>
      <c r="V73" s="135"/>
      <c r="W73" s="135"/>
    </row>
    <row r="74" spans="9:23">
      <c r="I74" s="135"/>
      <c r="K74" s="135"/>
      <c r="M74" s="135"/>
      <c r="N74" s="135"/>
      <c r="O74" s="135"/>
      <c r="P74" s="135"/>
      <c r="Q74" s="135"/>
      <c r="R74" s="135"/>
      <c r="S74" s="135"/>
      <c r="T74" s="135"/>
      <c r="U74" s="135"/>
      <c r="V74" s="135"/>
      <c r="W74" s="135"/>
    </row>
    <row r="75" spans="9:23">
      <c r="I75" s="135"/>
      <c r="K75" s="135"/>
      <c r="M75" s="135"/>
      <c r="N75" s="135"/>
      <c r="O75" s="135"/>
      <c r="P75" s="135"/>
      <c r="Q75" s="135"/>
      <c r="R75" s="135"/>
      <c r="S75" s="135"/>
      <c r="T75" s="135"/>
      <c r="U75" s="135"/>
      <c r="V75" s="135"/>
      <c r="W75" s="135"/>
    </row>
    <row r="76" spans="9:23">
      <c r="I76" s="135"/>
      <c r="K76" s="135"/>
      <c r="M76" s="135"/>
      <c r="N76" s="135"/>
      <c r="O76" s="135"/>
      <c r="P76" s="135"/>
      <c r="Q76" s="135"/>
      <c r="R76" s="135"/>
      <c r="S76" s="135"/>
      <c r="T76" s="135"/>
      <c r="U76" s="135"/>
      <c r="V76" s="135"/>
      <c r="W76" s="135"/>
    </row>
    <row r="77" spans="9:23">
      <c r="I77" s="135"/>
      <c r="K77" s="135"/>
      <c r="M77" s="135"/>
      <c r="N77" s="135"/>
      <c r="O77" s="135"/>
      <c r="P77" s="135"/>
      <c r="Q77" s="135"/>
      <c r="R77" s="135"/>
      <c r="S77" s="135"/>
      <c r="T77" s="135"/>
      <c r="U77" s="135"/>
      <c r="V77" s="135"/>
      <c r="W77" s="135"/>
    </row>
    <row r="78" spans="9:23">
      <c r="I78" s="135"/>
      <c r="K78" s="135"/>
      <c r="M78" s="135"/>
      <c r="N78" s="135"/>
      <c r="O78" s="135"/>
      <c r="P78" s="135"/>
      <c r="Q78" s="135"/>
      <c r="R78" s="135"/>
      <c r="S78" s="135"/>
      <c r="T78" s="135"/>
      <c r="U78" s="135"/>
      <c r="V78" s="135"/>
      <c r="W78" s="135"/>
    </row>
    <row r="79" spans="9:23">
      <c r="I79" s="135"/>
      <c r="K79" s="135"/>
      <c r="M79" s="135"/>
      <c r="N79" s="135"/>
      <c r="O79" s="135"/>
      <c r="P79" s="135"/>
      <c r="Q79" s="135"/>
      <c r="R79" s="135"/>
      <c r="S79" s="135"/>
      <c r="T79" s="135"/>
      <c r="U79" s="135"/>
      <c r="V79" s="135"/>
      <c r="W79" s="135"/>
    </row>
    <row r="80" spans="9:23">
      <c r="I80" s="135"/>
      <c r="K80" s="135"/>
      <c r="M80" s="135"/>
      <c r="N80" s="135"/>
      <c r="O80" s="135"/>
      <c r="P80" s="135"/>
      <c r="Q80" s="135"/>
      <c r="R80" s="135"/>
      <c r="S80" s="135"/>
      <c r="T80" s="135"/>
      <c r="U80" s="135"/>
      <c r="V80" s="135"/>
      <c r="W80" s="135"/>
    </row>
    <row r="81" spans="9:23">
      <c r="I81" s="135"/>
      <c r="K81" s="135"/>
      <c r="M81" s="135"/>
      <c r="N81" s="135"/>
      <c r="O81" s="135"/>
      <c r="P81" s="135"/>
      <c r="Q81" s="135"/>
      <c r="R81" s="135"/>
      <c r="S81" s="135"/>
      <c r="T81" s="135"/>
      <c r="U81" s="135"/>
      <c r="V81" s="135"/>
      <c r="W81" s="135"/>
    </row>
    <row r="82" spans="9:23">
      <c r="I82" s="135"/>
      <c r="K82" s="135"/>
      <c r="M82" s="135"/>
      <c r="N82" s="135"/>
      <c r="O82" s="135"/>
      <c r="P82" s="135"/>
      <c r="Q82" s="135"/>
      <c r="R82" s="135"/>
      <c r="S82" s="135"/>
      <c r="T82" s="135"/>
      <c r="U82" s="135"/>
      <c r="V82" s="135"/>
      <c r="W82" s="135"/>
    </row>
    <row r="83" spans="9:23">
      <c r="I83" s="135"/>
      <c r="K83" s="135"/>
      <c r="M83" s="135"/>
      <c r="N83" s="135"/>
      <c r="O83" s="135"/>
      <c r="P83" s="135"/>
      <c r="Q83" s="135"/>
      <c r="R83" s="135"/>
      <c r="S83" s="135"/>
      <c r="T83" s="135"/>
      <c r="U83" s="135"/>
      <c r="V83" s="135"/>
      <c r="W83" s="135"/>
    </row>
    <row r="84" spans="9:23">
      <c r="I84" s="135"/>
      <c r="K84" s="135"/>
      <c r="M84" s="135"/>
      <c r="N84" s="135"/>
      <c r="O84" s="135"/>
      <c r="P84" s="135"/>
      <c r="Q84" s="135"/>
      <c r="R84" s="135"/>
      <c r="S84" s="135"/>
      <c r="T84" s="135"/>
      <c r="U84" s="135"/>
      <c r="V84" s="135"/>
      <c r="W84" s="135"/>
    </row>
    <row r="85" spans="9:23">
      <c r="I85" s="135"/>
      <c r="K85" s="135"/>
      <c r="M85" s="135"/>
      <c r="N85" s="135"/>
      <c r="O85" s="135"/>
      <c r="P85" s="135"/>
      <c r="Q85" s="135"/>
      <c r="R85" s="135"/>
      <c r="S85" s="135"/>
      <c r="T85" s="135"/>
      <c r="U85" s="135"/>
      <c r="V85" s="135"/>
      <c r="W85" s="135"/>
    </row>
    <row r="86" spans="9:23">
      <c r="I86" s="135"/>
      <c r="K86" s="135"/>
      <c r="M86" s="135"/>
      <c r="N86" s="135"/>
      <c r="O86" s="135"/>
      <c r="P86" s="135"/>
      <c r="Q86" s="135"/>
      <c r="R86" s="135"/>
      <c r="S86" s="135"/>
      <c r="T86" s="135"/>
      <c r="U86" s="135"/>
      <c r="V86" s="135"/>
      <c r="W86" s="135"/>
    </row>
    <row r="87" spans="9:23">
      <c r="O87" s="135"/>
      <c r="P87" s="135"/>
      <c r="Q87" s="135"/>
      <c r="R87" s="135"/>
      <c r="S87" s="135"/>
      <c r="T87" s="135"/>
      <c r="U87" s="135"/>
      <c r="V87" s="135"/>
      <c r="W87" s="135"/>
    </row>
    <row r="88" spans="9:23">
      <c r="O88" s="135"/>
      <c r="P88" s="135"/>
      <c r="Q88" s="135"/>
      <c r="R88" s="135"/>
      <c r="S88" s="135"/>
      <c r="T88" s="135"/>
      <c r="U88" s="135"/>
      <c r="V88" s="135"/>
      <c r="W88" s="135"/>
    </row>
    <row r="89" spans="9:23">
      <c r="O89" s="135"/>
      <c r="P89" s="135"/>
      <c r="Q89" s="135"/>
      <c r="R89" s="135"/>
      <c r="S89" s="135"/>
      <c r="T89" s="135"/>
      <c r="U89" s="135"/>
      <c r="V89" s="135"/>
      <c r="W89" s="135"/>
    </row>
  </sheetData>
  <sheetProtection algorithmName="SHA-512" hashValue="mwtdX/pNj5V7oCUPtbd5TX8OEa2omecsmiyJUODkhnEkJlyMGQNtiKiASSAbvBUufHw5XrCXrmnDD5U0NnWkrQ==" saltValue="7izZpMNIqfJu8AHOrt8e6g==" spinCount="100000" sheet="1" objects="1" scenarios="1"/>
  <customSheetViews>
    <customSheetView guid="{C0826E8D-7112-6B45-A18A-1E6622F31D95}" scale="110" hiddenRows="1" topLeftCell="A2">
      <selection activeCell="B15" sqref="B15"/>
      <pageMargins left="0.7" right="0.7" top="0.75" bottom="0.75" header="0.3" footer="0.3"/>
      <pageSetup paperSize="9" orientation="portrait" horizontalDpi="300" verticalDpi="300" r:id="rId1"/>
    </customSheetView>
  </customSheetViews>
  <mergeCells count="11">
    <mergeCell ref="R1:T1"/>
    <mergeCell ref="J1:K1"/>
    <mergeCell ref="D1:E1"/>
    <mergeCell ref="F1:G1"/>
    <mergeCell ref="H1:I1"/>
    <mergeCell ref="L1:M1"/>
    <mergeCell ref="B35:B41"/>
    <mergeCell ref="B22:B24"/>
    <mergeCell ref="B10:B20"/>
    <mergeCell ref="B2:B8"/>
    <mergeCell ref="B28:B33"/>
  </mergeCells>
  <hyperlinks>
    <hyperlink ref="B9" location="Viherkerroin!A1" display="Takaisin" xr:uid="{C3851F2F-E4F4-A14A-AC30-74C7CFC8497B}"/>
    <hyperlink ref="B25" location="Viherkerroin!A1" display="Takaisin" xr:uid="{5CC56C9E-CE6D-D54F-9F87-D36708D6C6BF}"/>
    <hyperlink ref="B27" location="Viherkerroin!A1" display="Takaisin" xr:uid="{E4BBBC39-0606-5B42-BE71-BE1F28A4E054}"/>
    <hyperlink ref="B34" location="Viherkerroin!A1" display="Takaisin" xr:uid="{7AB1C7D4-162B-A84D-A30B-6578F526B665}"/>
    <hyperlink ref="B42" location="Viherkerroin!A1" display="Takaisin" xr:uid="{61FAABE1-D7A1-9348-9136-3E2B0A68697E}"/>
    <hyperlink ref="B21" location="Viherkerroin!A1" display="Takaisin" xr:uid="{760DC1E4-8C05-4C1F-9A0F-2C9FB8570868}"/>
  </hyperlinks>
  <pageMargins left="0.7" right="0.7" top="0.75" bottom="0.75" header="0.3" footer="0.3"/>
  <pageSetup paperSize="9" orientation="portrait" horizontalDpi="300" verticalDpi="300"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5">
    <tabColor rgb="FFFFE69D"/>
  </sheetPr>
  <dimension ref="A1:L31"/>
  <sheetViews>
    <sheetView zoomScaleNormal="135" workbookViewId="0"/>
  </sheetViews>
  <sheetFormatPr baseColWidth="10" defaultColWidth="9.1640625" defaultRowHeight="14"/>
  <cols>
    <col min="1" max="1" width="20.83203125" style="18" customWidth="1"/>
    <col min="2" max="2" width="74.5" style="18" customWidth="1"/>
    <col min="3" max="3" width="5.83203125" style="18" customWidth="1"/>
    <col min="4" max="4" width="35.83203125" style="18" customWidth="1"/>
    <col min="5" max="5" width="5.83203125" style="18" customWidth="1"/>
    <col min="6" max="6" width="35.83203125" style="18" customWidth="1"/>
    <col min="7" max="7" width="5.83203125" style="18" customWidth="1"/>
    <col min="8" max="8" width="35.83203125" style="18" customWidth="1"/>
    <col min="9" max="10" width="9.1640625" style="18"/>
    <col min="11" max="11" width="3.83203125" style="18" customWidth="1"/>
    <col min="12" max="12" width="41" style="135" customWidth="1"/>
    <col min="13" max="16384" width="9.1640625" style="18"/>
  </cols>
  <sheetData>
    <row r="1" spans="1:12" s="723" customFormat="1" ht="40" customHeight="1">
      <c r="B1" s="242" t="s">
        <v>599</v>
      </c>
      <c r="C1" s="242"/>
      <c r="L1" s="734"/>
    </row>
    <row r="2" spans="1:12" ht="260" customHeight="1" thickBot="1">
      <c r="A2" s="165"/>
      <c r="B2" s="709" t="s">
        <v>600</v>
      </c>
      <c r="C2" s="709"/>
      <c r="D2" s="58"/>
      <c r="E2" s="58"/>
      <c r="F2" s="58"/>
      <c r="L2" s="166"/>
    </row>
    <row r="3" spans="1:12" s="723" customFormat="1" ht="20" customHeight="1" thickBot="1">
      <c r="A3" s="721" t="s">
        <v>254</v>
      </c>
      <c r="B3" s="732"/>
      <c r="C3" s="726"/>
      <c r="D3" s="726"/>
      <c r="E3" s="726"/>
      <c r="F3" s="726"/>
      <c r="L3" s="733"/>
    </row>
    <row r="4" spans="1:12" ht="360" customHeight="1" thickBot="1">
      <c r="A4" s="167"/>
      <c r="B4" s="709" t="s">
        <v>601</v>
      </c>
      <c r="C4" s="168"/>
      <c r="L4" s="169"/>
    </row>
    <row r="5" spans="1:12" s="723" customFormat="1" ht="20" customHeight="1" thickBot="1">
      <c r="A5" s="721" t="s">
        <v>254</v>
      </c>
      <c r="L5" s="731"/>
    </row>
    <row r="6" spans="1:12" ht="240" customHeight="1" thickBot="1">
      <c r="A6" s="58"/>
      <c r="B6" s="709" t="s">
        <v>580</v>
      </c>
      <c r="C6" s="709"/>
      <c r="D6" s="58"/>
      <c r="E6" s="58"/>
      <c r="F6" s="58"/>
    </row>
    <row r="7" spans="1:12" s="723" customFormat="1" ht="20" customHeight="1" thickBot="1">
      <c r="A7" s="721" t="s">
        <v>254</v>
      </c>
      <c r="B7" s="725"/>
      <c r="C7" s="725"/>
      <c r="D7" s="726"/>
      <c r="E7" s="726"/>
      <c r="F7" s="726"/>
      <c r="L7" s="724"/>
    </row>
    <row r="8" spans="1:12" ht="240" customHeight="1" thickBot="1">
      <c r="A8" s="58"/>
      <c r="B8" s="168" t="s">
        <v>581</v>
      </c>
      <c r="C8" s="168"/>
    </row>
    <row r="9" spans="1:12" s="723" customFormat="1" ht="20" customHeight="1" thickBot="1">
      <c r="A9" s="721" t="s">
        <v>254</v>
      </c>
      <c r="B9" s="727"/>
      <c r="C9" s="727"/>
      <c r="F9" s="726"/>
      <c r="L9" s="724"/>
    </row>
    <row r="10" spans="1:12" ht="270" customHeight="1" thickBot="1">
      <c r="A10" s="58"/>
      <c r="B10" s="709" t="s">
        <v>582</v>
      </c>
      <c r="C10" s="709"/>
      <c r="D10" s="58"/>
      <c r="E10" s="58"/>
    </row>
    <row r="11" spans="1:12" s="723" customFormat="1" ht="20" customHeight="1" thickBot="1">
      <c r="A11" s="721" t="s">
        <v>254</v>
      </c>
      <c r="B11" s="727"/>
      <c r="C11" s="727"/>
      <c r="L11" s="724"/>
    </row>
    <row r="12" spans="1:12" ht="270" customHeight="1" thickBot="1">
      <c r="A12" s="58"/>
      <c r="B12" s="709" t="s">
        <v>593</v>
      </c>
      <c r="C12" s="709"/>
      <c r="D12" s="58"/>
      <c r="E12" s="58"/>
      <c r="F12" s="58"/>
      <c r="G12" s="58"/>
      <c r="H12" s="58"/>
      <c r="L12" s="170"/>
    </row>
    <row r="13" spans="1:12" s="723" customFormat="1" ht="20" customHeight="1" thickBot="1">
      <c r="A13" s="721" t="s">
        <v>254</v>
      </c>
      <c r="B13" s="729"/>
      <c r="C13" s="725"/>
      <c r="D13" s="726"/>
      <c r="E13" s="726"/>
      <c r="F13" s="726"/>
      <c r="G13" s="726"/>
      <c r="H13" s="726"/>
      <c r="L13" s="730"/>
    </row>
    <row r="14" spans="1:12" ht="240" customHeight="1" thickBot="1">
      <c r="B14" s="710" t="s">
        <v>619</v>
      </c>
      <c r="C14" s="710"/>
    </row>
    <row r="15" spans="1:12" s="723" customFormat="1" ht="20" customHeight="1" thickBot="1">
      <c r="A15" s="721" t="s">
        <v>254</v>
      </c>
      <c r="B15" s="728"/>
      <c r="C15" s="728"/>
      <c r="F15" s="726"/>
      <c r="G15" s="726"/>
      <c r="H15" s="726"/>
      <c r="L15" s="724"/>
    </row>
    <row r="16" spans="1:12" ht="240" customHeight="1" thickBot="1">
      <c r="A16" s="58"/>
      <c r="B16" s="709" t="s">
        <v>583</v>
      </c>
      <c r="C16" s="709"/>
      <c r="D16" s="58"/>
      <c r="E16" s="58"/>
    </row>
    <row r="17" spans="1:12" s="723" customFormat="1" ht="20" customHeight="1" thickBot="1">
      <c r="A17" s="721" t="s">
        <v>254</v>
      </c>
      <c r="B17" s="727"/>
      <c r="C17" s="727"/>
      <c r="F17" s="726"/>
      <c r="L17" s="724"/>
    </row>
    <row r="18" spans="1:12" ht="240" customHeight="1" thickBot="1">
      <c r="A18" s="58"/>
      <c r="B18" s="711" t="s">
        <v>584</v>
      </c>
      <c r="C18" s="711"/>
      <c r="D18" s="58"/>
      <c r="E18" s="58"/>
    </row>
    <row r="19" spans="1:12" s="723" customFormat="1" ht="20" customHeight="1" thickBot="1">
      <c r="A19" s="721" t="s">
        <v>254</v>
      </c>
      <c r="B19" s="728"/>
      <c r="C19" s="728"/>
      <c r="L19" s="724"/>
    </row>
    <row r="20" spans="1:12" ht="240" customHeight="1" thickBot="1">
      <c r="A20" s="58"/>
      <c r="B20" s="709" t="s">
        <v>585</v>
      </c>
      <c r="C20" s="709"/>
      <c r="D20" s="58"/>
      <c r="E20" s="58"/>
      <c r="F20" s="58"/>
    </row>
    <row r="21" spans="1:12" s="723" customFormat="1" ht="20" customHeight="1" thickBot="1">
      <c r="A21" s="721" t="s">
        <v>254</v>
      </c>
      <c r="B21" s="727"/>
      <c r="C21" s="727"/>
      <c r="L21" s="724"/>
    </row>
    <row r="22" spans="1:12" ht="240" customHeight="1" thickBot="1">
      <c r="A22" s="58"/>
      <c r="B22" s="709" t="s">
        <v>586</v>
      </c>
      <c r="C22" s="709"/>
      <c r="D22" s="58"/>
      <c r="E22" s="58"/>
      <c r="F22" s="58"/>
    </row>
    <row r="23" spans="1:12" s="723" customFormat="1" ht="20" customHeight="1" thickBot="1">
      <c r="A23" s="721" t="s">
        <v>254</v>
      </c>
      <c r="B23" s="727"/>
      <c r="C23" s="727"/>
      <c r="L23" s="724"/>
    </row>
    <row r="24" spans="1:12" ht="240" customHeight="1" thickBot="1">
      <c r="A24" s="58"/>
      <c r="B24" s="709" t="s">
        <v>587</v>
      </c>
      <c r="C24" s="709"/>
      <c r="D24" s="58"/>
      <c r="E24" s="58"/>
      <c r="F24" s="58"/>
    </row>
    <row r="25" spans="1:12" s="723" customFormat="1" ht="20" customHeight="1" thickBot="1">
      <c r="A25" s="721" t="s">
        <v>254</v>
      </c>
      <c r="B25" s="725"/>
      <c r="C25" s="725"/>
      <c r="D25" s="726"/>
      <c r="E25" s="726"/>
      <c r="F25" s="726"/>
      <c r="L25" s="724"/>
    </row>
    <row r="26" spans="1:12" ht="240" customHeight="1" thickBot="1">
      <c r="A26" s="171"/>
      <c r="B26" s="709" t="s">
        <v>588</v>
      </c>
      <c r="C26" s="168"/>
      <c r="H26" s="20"/>
    </row>
    <row r="27" spans="1:12" s="723" customFormat="1" ht="20" customHeight="1" thickBot="1">
      <c r="A27" s="721" t="s">
        <v>254</v>
      </c>
      <c r="B27" s="725"/>
      <c r="C27" s="725"/>
      <c r="D27" s="726"/>
      <c r="E27" s="726"/>
      <c r="F27" s="726"/>
      <c r="H27" s="27"/>
      <c r="L27" s="724"/>
    </row>
    <row r="28" spans="1:12" ht="240" customHeight="1" thickBot="1">
      <c r="A28" s="72"/>
      <c r="B28" s="709" t="s">
        <v>589</v>
      </c>
      <c r="C28" s="709"/>
      <c r="D28" s="58"/>
      <c r="F28" s="27"/>
      <c r="G28" s="27"/>
    </row>
    <row r="29" spans="1:12" s="723" customFormat="1" ht="20" customHeight="1" thickBot="1">
      <c r="A29" s="721" t="s">
        <v>254</v>
      </c>
      <c r="B29" s="722"/>
      <c r="C29" s="722"/>
      <c r="F29" s="172"/>
      <c r="G29" s="27"/>
      <c r="L29" s="724"/>
    </row>
    <row r="30" spans="1:12">
      <c r="B30" s="58"/>
      <c r="C30" s="58"/>
      <c r="D30" s="58"/>
      <c r="E30" s="58"/>
    </row>
    <row r="31" spans="1:12">
      <c r="A31" s="18" t="s">
        <v>269</v>
      </c>
    </row>
  </sheetData>
  <sheetProtection algorithmName="SHA-512" hashValue="2WZNDTiYmpc5NMNwS7Bo2k9Jzg2EAyWSLW06ujl2y5ReMmLG+A5NATF3I0XzO+ze42hFmNG+dib+WNMstaHXaA==" saltValue="ojvzH2gWcpNDmZzrivW8BA==" spinCount="100000" sheet="1" objects="1" scenarios="1"/>
  <customSheetViews>
    <customSheetView guid="{C0826E8D-7112-6B45-A18A-1E6622F31D95}">
      <selection activeCell="C42" sqref="C42"/>
      <pageMargins left="0.7" right="0.7" top="0.75" bottom="0.75" header="0.3" footer="0.3"/>
      <pageSetup paperSize="9" orientation="portrait" horizontalDpi="300" verticalDpi="300" r:id="rId1"/>
    </customSheetView>
  </customSheetViews>
  <hyperlinks>
    <hyperlink ref="A3" location="Viherkerroin!A1" display="Takaisin: Viherkerroin" xr:uid="{C627E423-2BA4-0840-9BC5-B10892101A37}"/>
    <hyperlink ref="A5" location="Viherkerroin!A1" display="Takaisin: Viherkerroin" xr:uid="{59EFC77B-3B2C-3843-970F-5A091FDEE411}"/>
    <hyperlink ref="A7" location="Viherkerroin!A1" display="Takaisin: Viherkerroin" xr:uid="{109984D7-6389-4349-837D-EC4454416FB9}"/>
    <hyperlink ref="A9" location="Viherkerroin!A1" display="Takaisin: Viherkerroin" xr:uid="{70650A59-A22A-5C4A-AF64-4CA1337C403C}"/>
    <hyperlink ref="A11" location="Viherkerroin!A1" display="Takaisin: Viherkerroin" xr:uid="{82CBBF8D-77AC-2740-A6C8-E0D577DDEF5D}"/>
    <hyperlink ref="A13" location="Viherkerroin!A1" display="Takaisin: Viherkerroin" xr:uid="{1B2A841D-203D-C84B-8D7C-1F4E1C165AFA}"/>
    <hyperlink ref="A15" location="Viherkerroin!A1" display="Takaisin: Viherkerroin" xr:uid="{DFE0B85F-15E8-E44C-8F6F-B8D4BC619365}"/>
    <hyperlink ref="A17" location="Viherkerroin!A1" display="Takaisin: Viherkerroin" xr:uid="{4967ED3A-4A26-4E48-B53B-06322AF2A816}"/>
    <hyperlink ref="A19" location="Viherkerroin!A1" display="Takaisin: Viherkerroin" xr:uid="{E967267B-C647-BD48-8899-B25040CE6683}"/>
    <hyperlink ref="A21" location="Viherkerroin!A1" display="Takaisin: Viherkerroin" xr:uid="{AFD22846-7ED8-9E4E-B4B4-CE095DD2A1DA}"/>
    <hyperlink ref="A23" location="Viherkerroin!A1" display="Takaisin: Viherkerroin" xr:uid="{820B609F-8E78-EC4D-AD39-3895D07489CD}"/>
    <hyperlink ref="A25" location="Viherkerroin!A1" display="Takaisin: Viherkerroin" xr:uid="{89D93C38-76FB-8F4E-A8A5-0211809F826D}"/>
    <hyperlink ref="A27" location="Viherkerroin!A1" display="Takaisin: Viherkerroin" xr:uid="{7A50508D-E40E-3C45-A67E-940F3861875E}"/>
    <hyperlink ref="A29" location="Viherkerroin!A1" display="Takaisin: Viherkerroin" xr:uid="{24DE2836-C149-454B-B6ED-1A82BF5F4443}"/>
  </hyperlinks>
  <pageMargins left="0.7" right="0.7" top="0.75" bottom="0.75" header="0.3" footer="0.3"/>
  <pageSetup paperSize="9" orientation="portrait" horizontalDpi="300" verticalDpi="300" r:id="rId2"/>
  <drawing r:id="rId3"/>
  <legacyDrawing r:id="rId4"/>
  <mc:AlternateContent xmlns:mc="http://schemas.openxmlformats.org/markup-compatibility/2006">
    <mc:Choice Requires="x14">
      <controls>
        <mc:AlternateContent xmlns:mc="http://schemas.openxmlformats.org/markup-compatibility/2006">
          <mc:Choice Requires="x14">
            <control shapeId="16477" r:id="rId5" name="Button 93">
              <controlPr defaultSize="0" print="0" autoFill="0" autoPict="0" macro="[0]!Sheet4_Edellinen">
                <anchor moveWithCells="1" sizeWithCells="1">
                  <from>
                    <xdr:col>0</xdr:col>
                    <xdr:colOff>0</xdr:colOff>
                    <xdr:row>20</xdr:row>
                    <xdr:rowOff>0</xdr:rowOff>
                  </from>
                  <to>
                    <xdr:col>1</xdr:col>
                    <xdr:colOff>0</xdr:colOff>
                    <xdr:row>20</xdr:row>
                    <xdr:rowOff>0</xdr:rowOff>
                  </to>
                </anchor>
              </controlPr>
            </control>
          </mc:Choice>
        </mc:AlternateContent>
        <mc:AlternateContent xmlns:mc="http://schemas.openxmlformats.org/markup-compatibility/2006">
          <mc:Choice Requires="x14">
            <control shapeId="16387" r:id="rId6" name="Button 3">
              <controlPr defaultSize="0" print="0" autoFill="0" autoPict="0">
                <anchor moveWithCells="1" sizeWithCells="1">
                  <from>
                    <xdr:col>0</xdr:col>
                    <xdr:colOff>12700</xdr:colOff>
                    <xdr:row>6</xdr:row>
                    <xdr:rowOff>0</xdr:rowOff>
                  </from>
                  <to>
                    <xdr:col>1</xdr:col>
                    <xdr:colOff>12700</xdr:colOff>
                    <xdr:row>6</xdr:row>
                    <xdr:rowOff>0</xdr:rowOff>
                  </to>
                </anchor>
              </controlPr>
            </control>
          </mc:Choice>
        </mc:AlternateContent>
        <mc:AlternateContent xmlns:mc="http://schemas.openxmlformats.org/markup-compatibility/2006">
          <mc:Choice Requires="x14">
            <control shapeId="16476" r:id="rId7" name="Button 92">
              <controlPr defaultSize="0" print="0" autoFill="0" autoPict="0" macro="[0]!Sheet2_Ohjeet">
                <anchor moveWithCells="1" sizeWithCells="1">
                  <from>
                    <xdr:col>0</xdr:col>
                    <xdr:colOff>0</xdr:colOff>
                    <xdr:row>20</xdr:row>
                    <xdr:rowOff>0</xdr:rowOff>
                  </from>
                  <to>
                    <xdr:col>1</xdr:col>
                    <xdr:colOff>12700</xdr:colOff>
                    <xdr:row>20</xdr:row>
                    <xdr:rowOff>0</xdr:rowOff>
                  </to>
                </anchor>
              </controlPr>
            </control>
          </mc:Choice>
        </mc:AlternateContent>
      </controls>
    </mc:Choice>
  </mc:AlternateConten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1761A4-A69F-A246-9B26-F479F6586C1B}">
  <sheetPr codeName="Sheet6">
    <tabColor rgb="FFFFE69D"/>
  </sheetPr>
  <dimension ref="B1:E23"/>
  <sheetViews>
    <sheetView showGridLines="0" zoomScaleNormal="100" workbookViewId="0">
      <pane ySplit="2" topLeftCell="A3" activePane="bottomLeft" state="frozen"/>
      <selection pane="bottomLeft" activeCell="G8" sqref="G8"/>
    </sheetView>
  </sheetViews>
  <sheetFormatPr baseColWidth="10" defaultColWidth="11.5" defaultRowHeight="15"/>
  <cols>
    <col min="1" max="1" width="3.33203125" customWidth="1"/>
    <col min="2" max="2" width="30.83203125" customWidth="1"/>
    <col min="3" max="3" width="50.83203125" customWidth="1"/>
    <col min="4" max="4" width="114.83203125" customWidth="1"/>
  </cols>
  <sheetData>
    <row r="1" spans="2:5" ht="50" customHeight="1" thickBot="1">
      <c r="B1" s="886" t="s">
        <v>438</v>
      </c>
      <c r="C1" s="886"/>
      <c r="D1" s="886"/>
    </row>
    <row r="2" spans="2:5" ht="70" customHeight="1" thickBot="1">
      <c r="B2" s="308" t="s">
        <v>408</v>
      </c>
      <c r="C2" s="480" t="s">
        <v>410</v>
      </c>
      <c r="D2" s="485" t="s">
        <v>416</v>
      </c>
      <c r="E2" s="251"/>
    </row>
    <row r="3" spans="2:5" ht="60" customHeight="1">
      <c r="B3" s="892" t="s">
        <v>409</v>
      </c>
      <c r="C3" s="703" t="s">
        <v>393</v>
      </c>
      <c r="D3" s="704" t="s">
        <v>417</v>
      </c>
      <c r="E3" s="251"/>
    </row>
    <row r="4" spans="2:5" ht="82" customHeight="1">
      <c r="B4" s="892"/>
      <c r="C4" s="702" t="s">
        <v>424</v>
      </c>
      <c r="D4" s="704" t="s">
        <v>615</v>
      </c>
      <c r="E4" s="251"/>
    </row>
    <row r="5" spans="2:5" ht="100" customHeight="1">
      <c r="B5" s="892"/>
      <c r="C5" s="702" t="s">
        <v>375</v>
      </c>
      <c r="D5" s="705" t="s">
        <v>596</v>
      </c>
      <c r="E5" s="251"/>
    </row>
    <row r="6" spans="2:5" ht="100" customHeight="1">
      <c r="B6" s="892"/>
      <c r="C6" s="702" t="s">
        <v>395</v>
      </c>
      <c r="D6" s="705" t="s">
        <v>596</v>
      </c>
      <c r="E6" s="251"/>
    </row>
    <row r="7" spans="2:5" ht="79.5" customHeight="1">
      <c r="B7" s="892"/>
      <c r="C7" s="702" t="s">
        <v>452</v>
      </c>
      <c r="D7" s="705" t="s">
        <v>620</v>
      </c>
      <c r="E7" s="251"/>
    </row>
    <row r="8" spans="2:5" ht="79.5" customHeight="1" thickBot="1">
      <c r="B8" s="893"/>
      <c r="C8" s="701" t="s">
        <v>597</v>
      </c>
      <c r="D8" s="706" t="s">
        <v>598</v>
      </c>
      <c r="E8" s="251"/>
    </row>
    <row r="9" spans="2:5" ht="10" customHeight="1" thickBot="1">
      <c r="B9" s="890"/>
      <c r="C9" s="888"/>
      <c r="D9" s="889"/>
    </row>
    <row r="10" spans="2:5" ht="100" customHeight="1">
      <c r="B10" s="891" t="s">
        <v>383</v>
      </c>
      <c r="C10" s="718" t="s">
        <v>590</v>
      </c>
      <c r="D10" s="705" t="s">
        <v>614</v>
      </c>
    </row>
    <row r="11" spans="2:5" ht="155" customHeight="1">
      <c r="B11" s="892"/>
      <c r="C11" s="702" t="s">
        <v>394</v>
      </c>
      <c r="D11" s="716" t="s">
        <v>610</v>
      </c>
    </row>
    <row r="12" spans="2:5" ht="250" customHeight="1">
      <c r="B12" s="892"/>
      <c r="C12" s="894" t="s">
        <v>423</v>
      </c>
      <c r="D12" s="896" t="s">
        <v>442</v>
      </c>
    </row>
    <row r="13" spans="2:5" ht="260" customHeight="1">
      <c r="B13" s="892"/>
      <c r="C13" s="895"/>
      <c r="D13" s="897"/>
    </row>
    <row r="14" spans="2:5" ht="22" customHeight="1">
      <c r="B14" s="892"/>
      <c r="C14" s="719"/>
      <c r="D14" s="484" t="s">
        <v>441</v>
      </c>
      <c r="E14" s="717"/>
    </row>
    <row r="15" spans="2:5" ht="409" customHeight="1" thickBot="1">
      <c r="B15" s="893"/>
      <c r="C15" s="715" t="s">
        <v>407</v>
      </c>
      <c r="D15" s="707" t="s">
        <v>418</v>
      </c>
    </row>
    <row r="16" spans="2:5" ht="10" customHeight="1" thickBot="1">
      <c r="B16" s="887"/>
      <c r="C16" s="888"/>
      <c r="D16" s="889"/>
    </row>
    <row r="17" spans="2:4" ht="30">
      <c r="B17" s="891" t="s">
        <v>479</v>
      </c>
      <c r="C17" s="700" t="s">
        <v>377</v>
      </c>
      <c r="D17" s="705" t="s">
        <v>419</v>
      </c>
    </row>
    <row r="18" spans="2:4" ht="61" thickBot="1">
      <c r="B18" s="893"/>
      <c r="C18" s="701" t="s">
        <v>396</v>
      </c>
      <c r="D18" s="706" t="s">
        <v>420</v>
      </c>
    </row>
    <row r="19" spans="2:4" ht="10" customHeight="1" thickBot="1">
      <c r="B19" s="887"/>
      <c r="C19" s="888"/>
      <c r="D19" s="889"/>
    </row>
    <row r="20" spans="2:4" ht="147" customHeight="1" thickBot="1">
      <c r="B20" s="698" t="s">
        <v>392</v>
      </c>
      <c r="C20" s="699" t="s">
        <v>422</v>
      </c>
      <c r="D20" s="708" t="s">
        <v>421</v>
      </c>
    </row>
    <row r="21" spans="2:4" ht="10" customHeight="1" thickBot="1">
      <c r="B21" s="887"/>
      <c r="C21" s="888"/>
      <c r="D21" s="889"/>
    </row>
    <row r="22" spans="2:4" ht="100" customHeight="1"/>
    <row r="23" spans="2:4" ht="100" customHeight="1"/>
  </sheetData>
  <sheetProtection algorithmName="SHA-512" hashValue="6V/8EiSHyjlhaA+iGwMtiteMoqVNqOopBIjrdN8Ho1eAnKXC1D3/yPy7nwTn4+0nn9tKkR+Ty7Xtot8Zr+lXag==" saltValue="fYZvaFyu23/ocwUtIXeoVw==" spinCount="100000" sheet="1" objects="1" scenarios="1"/>
  <mergeCells count="10">
    <mergeCell ref="B1:D1"/>
    <mergeCell ref="B21:D21"/>
    <mergeCell ref="B16:D16"/>
    <mergeCell ref="B9:D9"/>
    <mergeCell ref="B10:B15"/>
    <mergeCell ref="B3:B8"/>
    <mergeCell ref="B17:B18"/>
    <mergeCell ref="B19:D19"/>
    <mergeCell ref="C12:C13"/>
    <mergeCell ref="D12:D13"/>
  </mergeCells>
  <dataValidations disablePrompts="1" count="2">
    <dataValidation allowBlank="1" showErrorMessage="1" sqref="C7:C8 C4 C12 C14:C15" xr:uid="{1E2980D6-735E-8E44-A5A1-282C457EA5D7}"/>
    <dataValidation allowBlank="1" showErrorMessage="1" prompt="_x000a__x000a_" sqref="C20" xr:uid="{7E213691-82F9-7248-9F61-904E22AD9142}"/>
  </dataValidation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3">
    <pageSetUpPr autoPageBreaks="0"/>
  </sheetPr>
  <dimension ref="A1:BY68"/>
  <sheetViews>
    <sheetView zoomScaleNormal="100" zoomScaleSheetLayoutView="70" workbookViewId="0">
      <selection activeCell="K30" sqref="K30"/>
    </sheetView>
  </sheetViews>
  <sheetFormatPr baseColWidth="10" defaultColWidth="9.1640625" defaultRowHeight="14"/>
  <cols>
    <col min="1" max="1" width="25.5" style="134" customWidth="1"/>
    <col min="2" max="2" width="43.83203125" style="74" customWidth="1"/>
    <col min="3" max="3" width="39.5" style="140" customWidth="1"/>
    <col min="4" max="4" width="7" style="81" customWidth="1"/>
    <col min="5" max="5" width="37.1640625" style="140" customWidth="1"/>
    <col min="6" max="6" width="7.5" style="81" customWidth="1"/>
    <col min="7" max="7" width="32.5" style="139" customWidth="1"/>
    <col min="8" max="8" width="7" style="81" customWidth="1"/>
    <col min="9" max="9" width="31.5" style="140" customWidth="1"/>
    <col min="10" max="10" width="7" style="81" customWidth="1"/>
    <col min="11" max="11" width="31.5" style="140" customWidth="1"/>
    <col min="12" max="12" width="7" style="81" customWidth="1"/>
    <col min="13" max="14" width="17.1640625" style="163" customWidth="1"/>
    <col min="15" max="15" width="5.1640625" style="36" customWidth="1"/>
    <col min="16" max="16" width="47.5" style="74" hidden="1" customWidth="1"/>
    <col min="17" max="21" width="8.83203125" style="36" hidden="1" customWidth="1"/>
    <col min="22" max="22" width="8.83203125" style="66" hidden="1" customWidth="1"/>
    <col min="23" max="23" width="8.83203125" style="45" hidden="1" customWidth="1"/>
    <col min="24" max="25" width="8.83203125" style="36" hidden="1" customWidth="1"/>
    <col min="26" max="33" width="8.83203125" style="20" hidden="1" customWidth="1"/>
    <col min="34" max="34" width="8.83203125" style="20" customWidth="1"/>
    <col min="35" max="35" width="7" style="20" customWidth="1"/>
    <col min="36" max="48" width="11.5" style="20" customWidth="1"/>
    <col min="49" max="49" width="7" style="20" customWidth="1"/>
    <col min="50" max="50" width="44.83203125" style="20" customWidth="1"/>
    <col min="51" max="51" width="27.1640625" style="20" customWidth="1"/>
    <col min="52" max="52" width="43.83203125" style="20" customWidth="1"/>
    <col min="53" max="53" width="29.5" style="20" customWidth="1"/>
    <col min="54" max="54" width="30.1640625" style="20" customWidth="1"/>
    <col min="55" max="55" width="31.5" style="20" customWidth="1"/>
    <col min="56" max="56" width="12.5" style="20" customWidth="1"/>
    <col min="57" max="59" width="7" style="20" customWidth="1"/>
    <col min="60" max="63" width="8.83203125" style="20" customWidth="1"/>
    <col min="64" max="73" width="8.83203125" style="36" customWidth="1"/>
    <col min="74" max="77" width="9.1640625" style="36"/>
    <col min="78" max="16384" width="9.1640625" style="74"/>
  </cols>
  <sheetData>
    <row r="1" spans="1:77" s="100" customFormat="1" ht="87" customHeight="1" thickBot="1">
      <c r="A1" s="502" t="s">
        <v>38</v>
      </c>
      <c r="B1" s="503" t="s">
        <v>1</v>
      </c>
      <c r="C1" s="910" t="s">
        <v>4</v>
      </c>
      <c r="D1" s="910"/>
      <c r="E1" s="910" t="s">
        <v>5</v>
      </c>
      <c r="F1" s="910"/>
      <c r="G1" s="910" t="s">
        <v>12</v>
      </c>
      <c r="H1" s="910"/>
      <c r="I1" s="910" t="s">
        <v>6</v>
      </c>
      <c r="J1" s="910"/>
      <c r="K1" s="910" t="s">
        <v>176</v>
      </c>
      <c r="L1" s="911"/>
      <c r="M1" s="583" t="s">
        <v>13</v>
      </c>
      <c r="N1" s="583" t="s">
        <v>2</v>
      </c>
      <c r="O1" s="98"/>
      <c r="P1" s="584" t="s">
        <v>357</v>
      </c>
      <c r="Q1" s="36"/>
      <c r="R1" s="36"/>
      <c r="S1" s="36"/>
      <c r="T1" s="36"/>
      <c r="U1" s="36"/>
      <c r="V1" s="66"/>
      <c r="W1" s="45"/>
      <c r="X1" s="36"/>
      <c r="Y1" s="36"/>
      <c r="Z1" s="20"/>
      <c r="AA1" s="20"/>
      <c r="AB1" s="20"/>
      <c r="AC1" s="20"/>
      <c r="AD1" s="20"/>
      <c r="AE1" s="20"/>
      <c r="AF1" s="20"/>
      <c r="AG1" s="20"/>
      <c r="AH1" s="20"/>
      <c r="AI1" s="20"/>
      <c r="AJ1" s="457" t="s">
        <v>4</v>
      </c>
      <c r="AK1" s="457" t="s">
        <v>5</v>
      </c>
      <c r="AL1" s="457" t="s">
        <v>12</v>
      </c>
      <c r="AM1" s="457" t="s">
        <v>6</v>
      </c>
      <c r="AN1" s="457" t="s">
        <v>176</v>
      </c>
      <c r="AO1" s="457" t="s">
        <v>117</v>
      </c>
      <c r="AP1" s="458"/>
      <c r="AQ1" s="457" t="s">
        <v>4</v>
      </c>
      <c r="AR1" s="457" t="s">
        <v>5</v>
      </c>
      <c r="AS1" s="457" t="s">
        <v>12</v>
      </c>
      <c r="AT1" s="457" t="s">
        <v>6</v>
      </c>
      <c r="AU1" s="457" t="s">
        <v>176</v>
      </c>
      <c r="AV1" s="457" t="s">
        <v>117</v>
      </c>
      <c r="AW1" s="141"/>
      <c r="AX1" s="912" t="s">
        <v>22</v>
      </c>
      <c r="AY1" s="912"/>
      <c r="AZ1" s="433"/>
      <c r="BA1" s="434"/>
      <c r="BB1" s="435"/>
      <c r="BF1" s="433" t="s">
        <v>126</v>
      </c>
      <c r="BJ1" s="141"/>
      <c r="BK1" s="141"/>
      <c r="BL1" s="99"/>
      <c r="BM1" s="99"/>
      <c r="BN1" s="99"/>
      <c r="BO1" s="99"/>
      <c r="BP1" s="99"/>
      <c r="BQ1" s="99"/>
      <c r="BR1" s="99"/>
      <c r="BS1" s="99"/>
      <c r="BT1" s="99"/>
      <c r="BU1" s="99"/>
      <c r="BV1" s="99"/>
      <c r="BW1" s="99"/>
      <c r="BX1" s="99"/>
      <c r="BY1" s="99"/>
    </row>
    <row r="2" spans="1:77" s="104" customFormat="1" ht="32" customHeight="1">
      <c r="A2" s="900" t="s">
        <v>54</v>
      </c>
      <c r="B2" s="504" t="s">
        <v>570</v>
      </c>
      <c r="C2" s="505" t="s">
        <v>536</v>
      </c>
      <c r="D2" s="517">
        <v>3</v>
      </c>
      <c r="E2" s="506" t="s">
        <v>55</v>
      </c>
      <c r="F2" s="517">
        <v>3</v>
      </c>
      <c r="G2" s="507" t="s">
        <v>496</v>
      </c>
      <c r="H2" s="521">
        <v>3</v>
      </c>
      <c r="I2" s="506" t="s">
        <v>543</v>
      </c>
      <c r="J2" s="521">
        <v>2.5</v>
      </c>
      <c r="K2" s="506" t="s">
        <v>497</v>
      </c>
      <c r="L2" s="579">
        <v>3</v>
      </c>
      <c r="M2" s="582">
        <f>(D2*$AY$3+F2*$AY$9+H2*$AY$14+J2*$AY$15+L2*$AY$16)/5</f>
        <v>3.4673611111111109</v>
      </c>
      <c r="N2" s="582">
        <f>Viherkerroin!L3</f>
        <v>0</v>
      </c>
      <c r="O2" s="143">
        <f>(D2*$AY$3+F2*$AY$9+H2*$AY$14+J2*$AY$15+L2*$AY$16)/($AY$3+$AY$9+$AY$14+$AY$15+$AY$16)</f>
        <v>2.9405182567726742</v>
      </c>
      <c r="P2" s="499" t="s">
        <v>58</v>
      </c>
      <c r="Q2" s="36"/>
      <c r="R2" s="36"/>
      <c r="S2" s="36"/>
      <c r="T2" s="36"/>
      <c r="U2" s="36"/>
      <c r="V2" s="144"/>
      <c r="W2" s="144"/>
      <c r="X2" s="36"/>
      <c r="Y2" s="36"/>
      <c r="Z2" s="20"/>
      <c r="AA2" s="20"/>
      <c r="AB2" s="20"/>
      <c r="AC2" s="20"/>
      <c r="AD2" s="20"/>
      <c r="AE2" s="20"/>
      <c r="AF2" s="20"/>
      <c r="AG2" s="20"/>
      <c r="AH2" s="20"/>
      <c r="AI2" s="20"/>
      <c r="AJ2" s="459">
        <f>IF($N2&gt;0,AQ2,0)</f>
        <v>0</v>
      </c>
      <c r="AK2" s="459">
        <f>IF($N2&gt;0,AR2,0)</f>
        <v>0</v>
      </c>
      <c r="AL2" s="459">
        <f>IF($N2&gt;0,AS2,0)</f>
        <v>0</v>
      </c>
      <c r="AM2" s="459">
        <f>IF($N2&gt;0,AT2,0)</f>
        <v>0</v>
      </c>
      <c r="AN2" s="459">
        <f>IF($N2&gt;0,AU2,0)</f>
        <v>0</v>
      </c>
      <c r="AO2" s="460">
        <f>SUM(AJ2:AN2)</f>
        <v>0</v>
      </c>
      <c r="AP2" s="114"/>
      <c r="AQ2" s="461">
        <f>D2*$AY$3/5/M2</f>
        <v>0.27458441818545959</v>
      </c>
      <c r="AR2" s="461">
        <f>F2*$AY$9/5/M2</f>
        <v>0.26196675345483678</v>
      </c>
      <c r="AS2" s="461">
        <f>H2*$AY$14/5/M2</f>
        <v>0.14600440616863608</v>
      </c>
      <c r="AT2" s="461">
        <f>J2*$AY$15/5/M2</f>
        <v>0.10114159823753255</v>
      </c>
      <c r="AU2" s="461">
        <f>L2*$AY$16/5/M2</f>
        <v>0.21630282395353495</v>
      </c>
      <c r="AV2" s="462">
        <f>SUM(AQ2:AU2)</f>
        <v>1</v>
      </c>
      <c r="AW2" s="146"/>
      <c r="AX2" s="305" t="s">
        <v>14</v>
      </c>
      <c r="AY2" s="305" t="s">
        <v>21</v>
      </c>
      <c r="AZ2" s="436" t="s">
        <v>168</v>
      </c>
      <c r="BA2" s="437">
        <f>SUM(AY3:AY16)</f>
        <v>5.8958333333333321</v>
      </c>
      <c r="BB2" s="305"/>
      <c r="BF2" s="104">
        <f>IF(AND(N2&gt;0,N2&lt;&gt;"-"),1,0)</f>
        <v>0</v>
      </c>
      <c r="BJ2" s="147"/>
      <c r="BK2" s="147"/>
      <c r="BL2" s="103"/>
      <c r="BM2" s="103"/>
      <c r="BN2" s="103"/>
      <c r="BO2" s="103"/>
      <c r="BP2" s="103"/>
      <c r="BQ2" s="103"/>
      <c r="BR2" s="103"/>
      <c r="BS2" s="103"/>
      <c r="BT2" s="103"/>
      <c r="BU2" s="103"/>
      <c r="BV2" s="103"/>
      <c r="BW2" s="103"/>
      <c r="BX2" s="103"/>
      <c r="BY2" s="103"/>
    </row>
    <row r="3" spans="1:77" s="104" customFormat="1" ht="32" customHeight="1">
      <c r="A3" s="901"/>
      <c r="B3" s="508" t="s">
        <v>571</v>
      </c>
      <c r="C3" s="509" t="s">
        <v>490</v>
      </c>
      <c r="D3" s="518">
        <v>2.5</v>
      </c>
      <c r="E3" s="509" t="s">
        <v>492</v>
      </c>
      <c r="F3" s="518">
        <v>2.5</v>
      </c>
      <c r="G3" s="510" t="s">
        <v>498</v>
      </c>
      <c r="H3" s="522">
        <v>2.8</v>
      </c>
      <c r="I3" s="509" t="s">
        <v>499</v>
      </c>
      <c r="J3" s="522">
        <v>2.5</v>
      </c>
      <c r="K3" s="509" t="s">
        <v>500</v>
      </c>
      <c r="L3" s="580">
        <v>3</v>
      </c>
      <c r="M3" s="578">
        <f>(D3*$AY$3+F3*$AY$9+H3*$AY$14+J3*$AY$15+L3*$AY$16)/5</f>
        <v>3.1235416666666662</v>
      </c>
      <c r="N3" s="578">
        <f>Viherkerroin!L4</f>
        <v>0</v>
      </c>
      <c r="O3" s="149">
        <f>(D3*$AY$3+F3*$AY$9+H3*$AY$14+J3*$AY$15+L3*$AY$16)/($AY$3+$AY$9+$AY$14+$AY$15+$AY$16)</f>
        <v>2.648939929328622</v>
      </c>
      <c r="P3" s="499" t="s">
        <v>60</v>
      </c>
      <c r="Q3" s="36"/>
      <c r="R3" s="36"/>
      <c r="S3" s="36"/>
      <c r="T3" s="36"/>
      <c r="U3" s="36"/>
      <c r="V3" s="144"/>
      <c r="W3" s="144"/>
      <c r="X3" s="36"/>
      <c r="Y3" s="36"/>
      <c r="Z3" s="20"/>
      <c r="AA3" s="20"/>
      <c r="AB3" s="20"/>
      <c r="AC3" s="20"/>
      <c r="AD3" s="20"/>
      <c r="AE3" s="20"/>
      <c r="AF3" s="20"/>
      <c r="AG3" s="20"/>
      <c r="AH3" s="20"/>
      <c r="AI3" s="20"/>
      <c r="AJ3" s="459">
        <f>IF($N3&gt;0,AQ3,0)</f>
        <v>0</v>
      </c>
      <c r="AK3" s="459">
        <f t="shared" ref="AK3:AK19" si="0">IF($N3&gt;0,AR3,0)</f>
        <v>0</v>
      </c>
      <c r="AL3" s="459">
        <f t="shared" ref="AL3:AL19" si="1">IF($N3&gt;0,AS3,0)</f>
        <v>0</v>
      </c>
      <c r="AM3" s="459">
        <f t="shared" ref="AM3:AM19" si="2">IF($N3&gt;0,AT3,0)</f>
        <v>0</v>
      </c>
      <c r="AN3" s="459">
        <f t="shared" ref="AN3:AN19" si="3">IF($N3&gt;0,AU3,0)</f>
        <v>0</v>
      </c>
      <c r="AO3" s="460">
        <f t="shared" ref="AO3:AO19" si="4">SUM(AJ3:AN3)</f>
        <v>0</v>
      </c>
      <c r="AP3" s="114"/>
      <c r="AQ3" s="461">
        <f t="shared" ref="AQ3:AQ19" si="5">D3*$AY$3/5/M3</f>
        <v>0.25400742568754309</v>
      </c>
      <c r="AR3" s="461">
        <f>F3*$AY$9/5/M3</f>
        <v>0.24233531203450498</v>
      </c>
      <c r="AS3" s="461">
        <f>H3*$AY$14/5/M3</f>
        <v>0.15127059294337358</v>
      </c>
      <c r="AT3" s="461">
        <f>J3*$AY$15/5/M3</f>
        <v>0.1122746170435092</v>
      </c>
      <c r="AU3" s="461">
        <f>L3*$AY$16/5/M3</f>
        <v>0.24011205229106919</v>
      </c>
      <c r="AV3" s="462">
        <f>SUM(AQ3:AU3)</f>
        <v>1</v>
      </c>
      <c r="AW3" s="150"/>
      <c r="AX3" s="913" t="s">
        <v>4</v>
      </c>
      <c r="AY3" s="914">
        <v>1.5868055555555554</v>
      </c>
      <c r="AZ3" s="904" t="s">
        <v>281</v>
      </c>
      <c r="BA3" s="903">
        <f>AY3/$BA$2</f>
        <v>0.26914016489988224</v>
      </c>
      <c r="BB3" s="441"/>
      <c r="BF3" s="104">
        <f t="shared" ref="BF3" si="6">IF(AND(N3&gt;0,N3&lt;&gt;"-"),1,0)</f>
        <v>0</v>
      </c>
      <c r="BJ3" s="147"/>
      <c r="BK3" s="147"/>
      <c r="BL3" s="103"/>
      <c r="BM3" s="103"/>
      <c r="BN3" s="103"/>
      <c r="BO3" s="103"/>
      <c r="BP3" s="103"/>
      <c r="BQ3" s="103"/>
      <c r="BR3" s="103"/>
      <c r="BS3" s="103"/>
      <c r="BT3" s="103"/>
      <c r="BU3" s="103"/>
      <c r="BV3" s="103"/>
      <c r="BW3" s="103"/>
      <c r="BX3" s="103"/>
      <c r="BY3" s="103"/>
    </row>
    <row r="4" spans="1:77" ht="32" customHeight="1">
      <c r="A4" s="901"/>
      <c r="B4" s="508" t="s">
        <v>572</v>
      </c>
      <c r="C4" s="509" t="s">
        <v>537</v>
      </c>
      <c r="D4" s="518">
        <v>2.5</v>
      </c>
      <c r="E4" s="509" t="s">
        <v>539</v>
      </c>
      <c r="F4" s="518">
        <v>2.5</v>
      </c>
      <c r="G4" s="510" t="s">
        <v>541</v>
      </c>
      <c r="H4" s="522">
        <v>3</v>
      </c>
      <c r="I4" s="509" t="s">
        <v>499</v>
      </c>
      <c r="J4" s="522">
        <v>2.5</v>
      </c>
      <c r="K4" s="509" t="s">
        <v>501</v>
      </c>
      <c r="L4" s="580">
        <v>2.5</v>
      </c>
      <c r="M4" s="578">
        <f>(D4*$AY$3+F4*$AY$9+H4*$AY$14+J4*$AY$15+L4*$AY$16)/5</f>
        <v>3.0322916666666666</v>
      </c>
      <c r="N4" s="578">
        <f>Viherkerroin!L5</f>
        <v>0</v>
      </c>
      <c r="O4" s="149">
        <f>(D4*$AY$3+F4*$AY$9+H4*$AY$14+J4*$AY$15+L4*$AY$16)/($AY$3+$AY$9+$AY$14+$AY$15+$AY$16)</f>
        <v>2.5715547703180217</v>
      </c>
      <c r="P4" s="499" t="s">
        <v>65</v>
      </c>
      <c r="V4" s="144"/>
      <c r="W4" s="144"/>
      <c r="AJ4" s="459">
        <f t="shared" ref="AJ4:AJ19" si="7">IF($N4&gt;0,AQ4,0)</f>
        <v>0</v>
      </c>
      <c r="AK4" s="459">
        <f t="shared" si="0"/>
        <v>0</v>
      </c>
      <c r="AL4" s="459">
        <f t="shared" si="1"/>
        <v>0</v>
      </c>
      <c r="AM4" s="459">
        <f t="shared" si="2"/>
        <v>0</v>
      </c>
      <c r="AN4" s="459">
        <f t="shared" si="3"/>
        <v>0</v>
      </c>
      <c r="AO4" s="460">
        <f t="shared" si="4"/>
        <v>0</v>
      </c>
      <c r="AP4" s="114"/>
      <c r="AQ4" s="461">
        <f t="shared" si="5"/>
        <v>0.26165120806137637</v>
      </c>
      <c r="AR4" s="461">
        <f>F4*$AY$9/5/M4</f>
        <v>0.24962784839115992</v>
      </c>
      <c r="AS4" s="461">
        <f>H4*$AY$14/5/M4</f>
        <v>0.16695293713500514</v>
      </c>
      <c r="AT4" s="461">
        <f>J4*$AY$15/5/M4</f>
        <v>0.11565326920874842</v>
      </c>
      <c r="AU4" s="461">
        <f>L4*$AY$16/5/M4</f>
        <v>0.20611473720371007</v>
      </c>
      <c r="AV4" s="462">
        <f t="shared" ref="AV4:AV19" si="8">SUM(AQ4:AU4)</f>
        <v>0.99999999999999989</v>
      </c>
      <c r="AW4" s="150"/>
      <c r="AX4" s="913"/>
      <c r="AY4" s="914"/>
      <c r="AZ4" s="904"/>
      <c r="BA4" s="903"/>
      <c r="BB4" s="441"/>
      <c r="BC4" s="442"/>
      <c r="BD4" s="74"/>
      <c r="BE4" s="74"/>
      <c r="BF4" s="104">
        <f t="shared" ref="BF4:BF23" si="9">IF(AND(N4&gt;0,N4&lt;&gt;"-"),1,0)</f>
        <v>0</v>
      </c>
      <c r="BG4" s="74"/>
      <c r="BH4" s="74"/>
      <c r="BI4" s="74"/>
    </row>
    <row r="5" spans="1:77" ht="32" customHeight="1" thickBot="1">
      <c r="A5" s="901"/>
      <c r="B5" s="508" t="s">
        <v>573</v>
      </c>
      <c r="C5" s="509" t="s">
        <v>538</v>
      </c>
      <c r="D5" s="518">
        <v>2.2000000000000002</v>
      </c>
      <c r="E5" s="509" t="s">
        <v>540</v>
      </c>
      <c r="F5" s="518">
        <v>2.2000000000000002</v>
      </c>
      <c r="G5" s="510" t="s">
        <v>542</v>
      </c>
      <c r="H5" s="522">
        <v>2.8</v>
      </c>
      <c r="I5" s="509" t="s">
        <v>499</v>
      </c>
      <c r="J5" s="522">
        <v>2.5</v>
      </c>
      <c r="K5" s="509" t="s">
        <v>502</v>
      </c>
      <c r="L5" s="580">
        <v>2.5</v>
      </c>
      <c r="M5" s="578">
        <f t="shared" ref="M5:M6" si="10">(D5*$AY$3+F5*$AY$9+H5*$AY$14+J5*$AY$15+L5*$AY$16)/5</f>
        <v>2.8125</v>
      </c>
      <c r="N5" s="578">
        <f>Viherkerroin!L6</f>
        <v>0</v>
      </c>
      <c r="O5" s="149"/>
      <c r="P5" s="501" t="s">
        <v>69</v>
      </c>
      <c r="V5" s="144"/>
      <c r="W5" s="144"/>
      <c r="AJ5" s="459">
        <f t="shared" si="7"/>
        <v>0</v>
      </c>
      <c r="AK5" s="459">
        <f t="shared" si="0"/>
        <v>0</v>
      </c>
      <c r="AL5" s="459">
        <f t="shared" si="1"/>
        <v>0</v>
      </c>
      <c r="AM5" s="459">
        <f t="shared" si="2"/>
        <v>0</v>
      </c>
      <c r="AN5" s="459">
        <f t="shared" si="3"/>
        <v>0</v>
      </c>
      <c r="AO5" s="460">
        <f t="shared" si="4"/>
        <v>0</v>
      </c>
      <c r="AP5" s="145"/>
      <c r="AQ5" s="461">
        <f t="shared" si="5"/>
        <v>0.24824691358024692</v>
      </c>
      <c r="AR5" s="461">
        <f t="shared" ref="AR5:AR6" si="11">F5*$AY$9/5/M5</f>
        <v>0.2368395061728395</v>
      </c>
      <c r="AS5" s="461">
        <f t="shared" ref="AS5:AS6" si="12">H5*$AY$14/5/M5</f>
        <v>0.16799999999999998</v>
      </c>
      <c r="AT5" s="461">
        <f t="shared" ref="AT5:AT6" si="13">J5*$AY$15/5/M5</f>
        <v>0.12469135802469135</v>
      </c>
      <c r="AU5" s="461">
        <f t="shared" ref="AU5:AU6" si="14">L5*$AY$16/5/M5</f>
        <v>0.22222222222222221</v>
      </c>
      <c r="AV5" s="462">
        <f t="shared" si="8"/>
        <v>0.99999999999999989</v>
      </c>
      <c r="AW5" s="150"/>
      <c r="AX5" s="913"/>
      <c r="AY5" s="914"/>
      <c r="AZ5" s="904"/>
      <c r="BA5" s="903"/>
      <c r="BB5" s="441"/>
      <c r="BC5" s="442"/>
      <c r="BD5" s="74"/>
      <c r="BE5" s="74"/>
      <c r="BF5" s="104">
        <f t="shared" si="9"/>
        <v>0</v>
      </c>
      <c r="BG5" s="74"/>
      <c r="BH5" s="74"/>
      <c r="BI5" s="74"/>
    </row>
    <row r="6" spans="1:77" ht="32" customHeight="1">
      <c r="A6" s="901"/>
      <c r="B6" s="508" t="s">
        <v>491</v>
      </c>
      <c r="C6" s="509" t="s">
        <v>61</v>
      </c>
      <c r="D6" s="518">
        <v>2</v>
      </c>
      <c r="E6" s="509" t="s">
        <v>62</v>
      </c>
      <c r="F6" s="518">
        <v>2</v>
      </c>
      <c r="G6" s="510" t="s">
        <v>67</v>
      </c>
      <c r="H6" s="522">
        <v>2</v>
      </c>
      <c r="I6" s="509" t="s">
        <v>64</v>
      </c>
      <c r="J6" s="522">
        <v>2</v>
      </c>
      <c r="K6" s="509" t="s">
        <v>192</v>
      </c>
      <c r="L6" s="580">
        <v>2</v>
      </c>
      <c r="M6" s="578">
        <f t="shared" si="10"/>
        <v>2.3583333333333329</v>
      </c>
      <c r="N6" s="578">
        <f>Viherkerroin!L7</f>
        <v>0</v>
      </c>
      <c r="O6" s="149"/>
      <c r="P6" s="908" t="s">
        <v>358</v>
      </c>
      <c r="V6" s="144"/>
      <c r="W6" s="144"/>
      <c r="AJ6" s="459">
        <f t="shared" si="7"/>
        <v>0</v>
      </c>
      <c r="AK6" s="459">
        <f t="shared" si="0"/>
        <v>0</v>
      </c>
      <c r="AL6" s="459">
        <f t="shared" si="1"/>
        <v>0</v>
      </c>
      <c r="AM6" s="459">
        <f t="shared" si="2"/>
        <v>0</v>
      </c>
      <c r="AN6" s="459">
        <f t="shared" si="3"/>
        <v>0</v>
      </c>
      <c r="AO6" s="460">
        <f t="shared" si="4"/>
        <v>0</v>
      </c>
      <c r="AP6" s="145"/>
      <c r="AQ6" s="461">
        <f t="shared" si="5"/>
        <v>0.26914016489988224</v>
      </c>
      <c r="AR6" s="461">
        <f t="shared" si="11"/>
        <v>0.25677267373380447</v>
      </c>
      <c r="AS6" s="461">
        <f t="shared" si="12"/>
        <v>0.14310954063604245</v>
      </c>
      <c r="AT6" s="461">
        <f t="shared" si="13"/>
        <v>0.11896348645465256</v>
      </c>
      <c r="AU6" s="461">
        <f t="shared" si="14"/>
        <v>0.21201413427561841</v>
      </c>
      <c r="AV6" s="462">
        <f t="shared" si="8"/>
        <v>1</v>
      </c>
      <c r="AW6" s="150"/>
      <c r="AX6" s="913"/>
      <c r="AY6" s="914"/>
      <c r="AZ6" s="904"/>
      <c r="BA6" s="903"/>
      <c r="BB6" s="441"/>
      <c r="BC6" s="442"/>
      <c r="BD6" s="74"/>
      <c r="BE6" s="74"/>
      <c r="BF6" s="104">
        <f t="shared" si="9"/>
        <v>0</v>
      </c>
      <c r="BG6" s="74"/>
      <c r="BH6" s="74"/>
      <c r="BI6" s="74"/>
    </row>
    <row r="7" spans="1:77" ht="32" customHeight="1">
      <c r="A7" s="901"/>
      <c r="B7" s="511" t="s">
        <v>272</v>
      </c>
      <c r="C7" s="512" t="s">
        <v>66</v>
      </c>
      <c r="D7" s="519">
        <v>2</v>
      </c>
      <c r="E7" s="479" t="s">
        <v>288</v>
      </c>
      <c r="F7" s="519">
        <v>1.5</v>
      </c>
      <c r="G7" s="513" t="s">
        <v>67</v>
      </c>
      <c r="H7" s="523">
        <v>2</v>
      </c>
      <c r="I7" s="479" t="s">
        <v>68</v>
      </c>
      <c r="J7" s="523">
        <v>2</v>
      </c>
      <c r="K7" s="479" t="s">
        <v>193</v>
      </c>
      <c r="L7" s="538">
        <v>2</v>
      </c>
      <c r="M7" s="546">
        <f>(D7*$AY$3+F7*$AY$9+H7*$AY$14+J7*$AY$15+L7*$AY$16)/5</f>
        <v>2.2069444444444444</v>
      </c>
      <c r="N7" s="546">
        <f>Viherkerroin!L8</f>
        <v>0</v>
      </c>
      <c r="O7" s="149">
        <f t="shared" ref="O7:O12" si="15">(D7*$AY$3+F7*$AY$9+H7*$AY$14+J7*$AY$15+L7*$AY$16)/($AY$3+$AY$9+$AY$14+$AY$15+$AY$16)</f>
        <v>1.871613663133098</v>
      </c>
      <c r="P7" s="909"/>
      <c r="V7" s="144"/>
      <c r="W7" s="144"/>
      <c r="AJ7" s="459">
        <f t="shared" ref="AJ7:AN8" si="16">IF($N7&gt;0,AQ7,0)</f>
        <v>0</v>
      </c>
      <c r="AK7" s="459">
        <f t="shared" si="16"/>
        <v>0</v>
      </c>
      <c r="AL7" s="459">
        <f t="shared" si="16"/>
        <v>0</v>
      </c>
      <c r="AM7" s="459">
        <f t="shared" si="16"/>
        <v>0</v>
      </c>
      <c r="AN7" s="459">
        <f t="shared" si="16"/>
        <v>0</v>
      </c>
      <c r="AO7" s="460">
        <f>SUM(AJ7:AN7)</f>
        <v>0</v>
      </c>
      <c r="AP7" s="114"/>
      <c r="AQ7" s="461">
        <f>D7*$AY$3/5/M7</f>
        <v>0.28760226557583385</v>
      </c>
      <c r="AR7" s="461">
        <f>F7*$AY$9/5/M7</f>
        <v>0.20578980490874763</v>
      </c>
      <c r="AS7" s="461">
        <f>H7*$AY$14/5/M7</f>
        <v>0.15292636878539964</v>
      </c>
      <c r="AT7" s="461">
        <f>J7*$AY$15/5/M7</f>
        <v>0.12712397734424166</v>
      </c>
      <c r="AU7" s="461">
        <f>L7*$AY$16/5/M7</f>
        <v>0.22655758338577722</v>
      </c>
      <c r="AV7" s="462">
        <f>SUM(AQ7:AU7)</f>
        <v>1</v>
      </c>
      <c r="AW7" s="150"/>
      <c r="AX7" s="913"/>
      <c r="AY7" s="914"/>
      <c r="AZ7" s="904"/>
      <c r="BA7" s="903"/>
      <c r="BB7" s="441"/>
      <c r="BC7" s="442"/>
      <c r="BD7" s="74"/>
      <c r="BE7" s="74"/>
      <c r="BF7" s="104">
        <f t="shared" si="9"/>
        <v>0</v>
      </c>
      <c r="BG7" s="74"/>
      <c r="BH7" s="74"/>
      <c r="BI7" s="74"/>
    </row>
    <row r="8" spans="1:77" ht="32" customHeight="1">
      <c r="A8" s="901"/>
      <c r="B8" s="511" t="s">
        <v>273</v>
      </c>
      <c r="C8" s="512" t="s">
        <v>283</v>
      </c>
      <c r="D8" s="519">
        <v>1.5</v>
      </c>
      <c r="E8" s="479" t="s">
        <v>284</v>
      </c>
      <c r="F8" s="519">
        <v>1.5</v>
      </c>
      <c r="G8" s="513" t="s">
        <v>285</v>
      </c>
      <c r="H8" s="523">
        <v>1</v>
      </c>
      <c r="I8" s="479" t="s">
        <v>286</v>
      </c>
      <c r="J8" s="523">
        <v>1</v>
      </c>
      <c r="K8" s="479" t="s">
        <v>287</v>
      </c>
      <c r="L8" s="538">
        <v>1</v>
      </c>
      <c r="M8" s="546">
        <f>(D8*$AY$3+F8*$AY$9+H8*$AY$14+J8*$AY$15+L8*$AY$16)/5</f>
        <v>1.489236111111111</v>
      </c>
      <c r="N8" s="546">
        <f>Viherkerroin!L9</f>
        <v>0</v>
      </c>
      <c r="O8" s="149">
        <f t="shared" si="15"/>
        <v>1.2629564193168437</v>
      </c>
      <c r="P8" s="499" t="s">
        <v>75</v>
      </c>
      <c r="V8" s="144"/>
      <c r="W8" s="144"/>
      <c r="AJ8" s="459">
        <f t="shared" si="16"/>
        <v>0</v>
      </c>
      <c r="AK8" s="459">
        <f t="shared" si="16"/>
        <v>0</v>
      </c>
      <c r="AL8" s="459">
        <f t="shared" si="16"/>
        <v>0</v>
      </c>
      <c r="AM8" s="459">
        <f t="shared" si="16"/>
        <v>0</v>
      </c>
      <c r="AN8" s="459">
        <f t="shared" si="16"/>
        <v>0</v>
      </c>
      <c r="AO8" s="460">
        <f>SUM(AJ8:AN8)</f>
        <v>0</v>
      </c>
      <c r="AP8" s="114"/>
      <c r="AQ8" s="461">
        <f>D8*$AY$3/5/M8</f>
        <v>0.31965493121939842</v>
      </c>
      <c r="AR8" s="461">
        <f>F8*$AY$9/5/M8</f>
        <v>0.3049661925856843</v>
      </c>
      <c r="AS8" s="461">
        <f>H8*$AY$14/5/M8</f>
        <v>0.11331312660293777</v>
      </c>
      <c r="AT8" s="461">
        <f>J8*$AY$15/5/M8</f>
        <v>9.4194450920960612E-2</v>
      </c>
      <c r="AU8" s="461">
        <f>L8*$AY$16/5/M8</f>
        <v>0.16787129867101891</v>
      </c>
      <c r="AV8" s="462">
        <f>SUM(AQ8:AU8)</f>
        <v>1</v>
      </c>
      <c r="AW8" s="150"/>
      <c r="AX8" s="913"/>
      <c r="AY8" s="914"/>
      <c r="AZ8" s="904"/>
      <c r="BA8" s="903"/>
      <c r="BB8" s="443"/>
      <c r="BC8" s="74"/>
      <c r="BD8" s="74"/>
      <c r="BE8" s="74"/>
      <c r="BF8" s="104">
        <f t="shared" si="9"/>
        <v>0</v>
      </c>
      <c r="BG8" s="74"/>
      <c r="BH8" s="74"/>
      <c r="BI8" s="74"/>
    </row>
    <row r="9" spans="1:77" ht="32" customHeight="1" thickBot="1">
      <c r="A9" s="902"/>
      <c r="B9" s="567" t="s">
        <v>70</v>
      </c>
      <c r="C9" s="568" t="s">
        <v>71</v>
      </c>
      <c r="D9" s="569">
        <v>2</v>
      </c>
      <c r="E9" s="570" t="s">
        <v>72</v>
      </c>
      <c r="F9" s="569">
        <v>1</v>
      </c>
      <c r="G9" s="571" t="s">
        <v>289</v>
      </c>
      <c r="H9" s="572">
        <v>3</v>
      </c>
      <c r="I9" s="570" t="s">
        <v>73</v>
      </c>
      <c r="J9" s="572">
        <v>3</v>
      </c>
      <c r="K9" s="570" t="s">
        <v>227</v>
      </c>
      <c r="L9" s="581">
        <v>0</v>
      </c>
      <c r="M9" s="547">
        <f>(D9*$AY$3+F9*$AY$9+H9*$AY$14+J9*$AY$15+L9*$AY$16)/5</f>
        <v>1.8645833333333333</v>
      </c>
      <c r="N9" s="547">
        <f>Viherkerroin!L10</f>
        <v>0</v>
      </c>
      <c r="O9" s="149">
        <f t="shared" si="15"/>
        <v>1.5812720848056538</v>
      </c>
      <c r="P9" s="499" t="s">
        <v>77</v>
      </c>
      <c r="V9" s="144"/>
      <c r="W9" s="144"/>
      <c r="AJ9" s="459">
        <f t="shared" si="7"/>
        <v>0</v>
      </c>
      <c r="AK9" s="459">
        <f t="shared" si="0"/>
        <v>0</v>
      </c>
      <c r="AL9" s="459">
        <f t="shared" si="1"/>
        <v>0</v>
      </c>
      <c r="AM9" s="459">
        <f t="shared" si="2"/>
        <v>0</v>
      </c>
      <c r="AN9" s="459">
        <f t="shared" si="3"/>
        <v>0</v>
      </c>
      <c r="AO9" s="460">
        <f t="shared" si="4"/>
        <v>0</v>
      </c>
      <c r="AP9" s="114"/>
      <c r="AQ9" s="461">
        <f t="shared" si="5"/>
        <v>0.34040968342644318</v>
      </c>
      <c r="AR9" s="461">
        <f>F9*$AY$9/5/M9</f>
        <v>0.16238361266294224</v>
      </c>
      <c r="AS9" s="461">
        <f>H9*$AY$14/5/M9</f>
        <v>0.27150837988826815</v>
      </c>
      <c r="AT9" s="461">
        <f>J9*$AY$15/5/M9</f>
        <v>0.22569832402234635</v>
      </c>
      <c r="AU9" s="461">
        <f>L9*$AY$16/5/M9</f>
        <v>0</v>
      </c>
      <c r="AV9" s="462">
        <f t="shared" si="8"/>
        <v>0.99999999999999989</v>
      </c>
      <c r="AX9" s="913" t="s">
        <v>5</v>
      </c>
      <c r="AY9" s="914">
        <v>1.5138888888888886</v>
      </c>
      <c r="AZ9" s="904" t="s">
        <v>282</v>
      </c>
      <c r="BA9" s="903">
        <f>AY9/$BA$2</f>
        <v>0.25677267373380447</v>
      </c>
      <c r="BB9" s="74"/>
      <c r="BC9" s="74"/>
      <c r="BD9" s="74"/>
      <c r="BE9" s="74"/>
      <c r="BF9" s="104">
        <f t="shared" si="9"/>
        <v>0</v>
      </c>
      <c r="BG9" s="74"/>
      <c r="BH9" s="74"/>
      <c r="BI9" s="74"/>
    </row>
    <row r="10" spans="1:77" ht="32" customHeight="1">
      <c r="A10" s="905" t="s">
        <v>24</v>
      </c>
      <c r="B10" s="504" t="s">
        <v>467</v>
      </c>
      <c r="C10" s="505" t="s">
        <v>503</v>
      </c>
      <c r="D10" s="517">
        <v>2.5</v>
      </c>
      <c r="E10" s="505" t="s">
        <v>504</v>
      </c>
      <c r="F10" s="517">
        <v>2</v>
      </c>
      <c r="G10" s="507" t="s">
        <v>505</v>
      </c>
      <c r="H10" s="521">
        <v>2.8</v>
      </c>
      <c r="I10" s="506" t="s">
        <v>74</v>
      </c>
      <c r="J10" s="521">
        <v>2</v>
      </c>
      <c r="K10" s="506" t="s">
        <v>506</v>
      </c>
      <c r="L10" s="525">
        <v>2.5</v>
      </c>
      <c r="M10" s="577">
        <f>(D10*$AY$3+F10*$AY$9+H10*$AY$14+J10*$AY$15+L10*$AY$16)/5</f>
        <v>2.7770138888888889</v>
      </c>
      <c r="N10" s="577">
        <f>Viherkerroin!L11</f>
        <v>0</v>
      </c>
      <c r="O10" s="149">
        <f t="shared" si="15"/>
        <v>2.3550647820965844</v>
      </c>
      <c r="P10" s="499" t="s">
        <v>82</v>
      </c>
      <c r="V10" s="144"/>
      <c r="W10" s="144"/>
      <c r="AJ10" s="459">
        <f t="shared" si="7"/>
        <v>0</v>
      </c>
      <c r="AK10" s="459">
        <f t="shared" si="0"/>
        <v>0</v>
      </c>
      <c r="AL10" s="459">
        <f t="shared" si="1"/>
        <v>0</v>
      </c>
      <c r="AM10" s="459">
        <f t="shared" si="2"/>
        <v>0</v>
      </c>
      <c r="AN10" s="459">
        <f t="shared" si="3"/>
        <v>0</v>
      </c>
      <c r="AO10" s="460">
        <f t="shared" si="4"/>
        <v>0</v>
      </c>
      <c r="AP10" s="114"/>
      <c r="AQ10" s="461">
        <f t="shared" si="5"/>
        <v>0.28570356848133233</v>
      </c>
      <c r="AR10" s="461">
        <f>F10*$AY$9/5/M10</f>
        <v>0.21805996649078491</v>
      </c>
      <c r="AS10" s="461">
        <f>H10*$AY$14/5/M10</f>
        <v>0.170146790367351</v>
      </c>
      <c r="AT10" s="461">
        <f>J10*$AY$15/5/M10</f>
        <v>0.10102778264022606</v>
      </c>
      <c r="AU10" s="461">
        <f>L10*$AY$16/5/M10</f>
        <v>0.22506189202030558</v>
      </c>
      <c r="AV10" s="462">
        <f t="shared" si="8"/>
        <v>0.99999999999999989</v>
      </c>
      <c r="AW10" s="150"/>
      <c r="AX10" s="913"/>
      <c r="AY10" s="914"/>
      <c r="AZ10" s="904"/>
      <c r="BA10" s="903"/>
      <c r="BB10" s="443"/>
      <c r="BC10" s="74"/>
      <c r="BD10" s="74"/>
      <c r="BE10" s="74"/>
      <c r="BF10" s="104">
        <f t="shared" si="9"/>
        <v>0</v>
      </c>
      <c r="BG10" s="74"/>
      <c r="BH10" s="74"/>
      <c r="BI10" s="74"/>
    </row>
    <row r="11" spans="1:77" ht="32" customHeight="1" thickBot="1">
      <c r="A11" s="906"/>
      <c r="B11" s="508" t="s">
        <v>468</v>
      </c>
      <c r="C11" s="573" t="s">
        <v>544</v>
      </c>
      <c r="D11" s="518">
        <v>2</v>
      </c>
      <c r="E11" s="573" t="s">
        <v>507</v>
      </c>
      <c r="F11" s="518">
        <v>1.5</v>
      </c>
      <c r="G11" s="510" t="s">
        <v>508</v>
      </c>
      <c r="H11" s="522">
        <v>2.6</v>
      </c>
      <c r="I11" s="509" t="s">
        <v>546</v>
      </c>
      <c r="J11" s="522">
        <v>2</v>
      </c>
      <c r="K11" s="509" t="s">
        <v>510</v>
      </c>
      <c r="L11" s="526">
        <v>2.5</v>
      </c>
      <c r="M11" s="578">
        <f>(D11*$AY$3+F11*$AY$9+H11*$AY$14+J11*$AY$15+L11*$AY$16)/5</f>
        <v>2.4331944444444447</v>
      </c>
      <c r="N11" s="578">
        <f>Viherkerroin!L12</f>
        <v>0</v>
      </c>
      <c r="O11" s="149">
        <f t="shared" si="15"/>
        <v>2.0634864546525331</v>
      </c>
      <c r="P11" s="501" t="s">
        <v>85</v>
      </c>
      <c r="V11" s="144"/>
      <c r="W11" s="144"/>
      <c r="AJ11" s="459">
        <f t="shared" si="7"/>
        <v>0</v>
      </c>
      <c r="AK11" s="459">
        <f t="shared" si="0"/>
        <v>0</v>
      </c>
      <c r="AL11" s="459">
        <f t="shared" si="1"/>
        <v>0</v>
      </c>
      <c r="AM11" s="459">
        <f t="shared" si="2"/>
        <v>0</v>
      </c>
      <c r="AN11" s="459">
        <f>IF($N11&gt;0,AU11,0)</f>
        <v>0</v>
      </c>
      <c r="AO11" s="460">
        <f t="shared" si="4"/>
        <v>0</v>
      </c>
      <c r="AP11" s="114"/>
      <c r="AQ11" s="461">
        <f t="shared" si="5"/>
        <v>0.26085963810719787</v>
      </c>
      <c r="AR11" s="461">
        <f>F11*$AY$9/5/M11</f>
        <v>0.18665448941149604</v>
      </c>
      <c r="AS11" s="461">
        <f>H11*$AY$14/5/M11</f>
        <v>0.1803185113305554</v>
      </c>
      <c r="AT11" s="461">
        <f>J11*$AY$15/5/M11</f>
        <v>0.11530338489639819</v>
      </c>
      <c r="AU11" s="461">
        <f>L11*$AY$16/5/M11</f>
        <v>0.25686397625435242</v>
      </c>
      <c r="AV11" s="462">
        <f t="shared" si="8"/>
        <v>0.99999999999999989</v>
      </c>
      <c r="AW11" s="150"/>
      <c r="AX11" s="913"/>
      <c r="AY11" s="914"/>
      <c r="AZ11" s="904"/>
      <c r="BA11" s="903"/>
      <c r="BB11" s="443"/>
      <c r="BC11" s="74"/>
      <c r="BD11" s="74"/>
      <c r="BE11" s="74"/>
      <c r="BF11" s="104">
        <f t="shared" si="9"/>
        <v>0</v>
      </c>
      <c r="BG11" s="74"/>
      <c r="BH11" s="74"/>
      <c r="BI11" s="74"/>
    </row>
    <row r="12" spans="1:77" ht="32" customHeight="1">
      <c r="A12" s="906"/>
      <c r="B12" s="508" t="s">
        <v>469</v>
      </c>
      <c r="C12" s="573" t="s">
        <v>511</v>
      </c>
      <c r="D12" s="518">
        <v>2</v>
      </c>
      <c r="E12" s="573" t="s">
        <v>512</v>
      </c>
      <c r="F12" s="518">
        <v>1.5</v>
      </c>
      <c r="G12" s="510" t="s">
        <v>513</v>
      </c>
      <c r="H12" s="522">
        <v>2.8</v>
      </c>
      <c r="I12" s="509" t="s">
        <v>509</v>
      </c>
      <c r="J12" s="522">
        <v>2</v>
      </c>
      <c r="K12" s="509" t="s">
        <v>514</v>
      </c>
      <c r="L12" s="526">
        <v>2</v>
      </c>
      <c r="M12" s="578">
        <f t="shared" ref="M12:M13" si="17">(D12*$AY$3+F12*$AY$9+H12*$AY$14+J12*$AY$15+L12*$AY$16)/5</f>
        <v>2.3419444444444446</v>
      </c>
      <c r="N12" s="578">
        <f>Viherkerroin!L13</f>
        <v>0</v>
      </c>
      <c r="O12" s="149">
        <f t="shared" si="15"/>
        <v>1.9861012956419322</v>
      </c>
      <c r="P12" s="112" t="s">
        <v>88</v>
      </c>
      <c r="V12" s="144"/>
      <c r="W12" s="144"/>
      <c r="AJ12" s="459">
        <f t="shared" si="7"/>
        <v>0</v>
      </c>
      <c r="AK12" s="459">
        <f t="shared" si="0"/>
        <v>0</v>
      </c>
      <c r="AL12" s="459">
        <f t="shared" si="1"/>
        <v>0</v>
      </c>
      <c r="AM12" s="459">
        <f t="shared" si="2"/>
        <v>0</v>
      </c>
      <c r="AN12" s="459">
        <f t="shared" ref="AN12:AN13" si="18">IF($N12&gt;0,AU12,0)</f>
        <v>0</v>
      </c>
      <c r="AO12" s="460">
        <f t="shared" si="4"/>
        <v>0</v>
      </c>
      <c r="AP12" s="145"/>
      <c r="AQ12" s="461">
        <f t="shared" si="5"/>
        <v>0.27102360336852088</v>
      </c>
      <c r="AR12" s="461">
        <f t="shared" ref="AR12:AR13" si="19">F12*$AY$9/5/M12</f>
        <v>0.19392717352627206</v>
      </c>
      <c r="AS12" s="461">
        <f t="shared" ref="AS12:AS13" si="20">H12*$AY$14/5/M12</f>
        <v>0.20175542640256194</v>
      </c>
      <c r="AT12" s="461">
        <f t="shared" ref="AT12:AT13" si="21">J12*$AY$15/5/M12</f>
        <v>0.11979599098564819</v>
      </c>
      <c r="AU12" s="461">
        <f t="shared" ref="AU12:AU13" si="22">L12*$AY$16/5/M12</f>
        <v>0.21349780571699678</v>
      </c>
      <c r="AV12" s="462">
        <f t="shared" si="8"/>
        <v>0.99999999999999978</v>
      </c>
      <c r="AW12" s="150"/>
      <c r="AX12" s="81"/>
      <c r="AY12" s="438"/>
      <c r="AZ12" s="439"/>
      <c r="BA12" s="440"/>
      <c r="BB12" s="443"/>
      <c r="BC12" s="74"/>
      <c r="BD12" s="74"/>
      <c r="BE12" s="74"/>
      <c r="BF12" s="104">
        <f t="shared" si="9"/>
        <v>0</v>
      </c>
      <c r="BG12" s="74"/>
      <c r="BH12" s="74"/>
      <c r="BI12" s="74"/>
    </row>
    <row r="13" spans="1:77" ht="32" customHeight="1">
      <c r="A13" s="906"/>
      <c r="B13" s="508" t="s">
        <v>470</v>
      </c>
      <c r="C13" s="573" t="s">
        <v>515</v>
      </c>
      <c r="D13" s="518">
        <v>1.8</v>
      </c>
      <c r="E13" s="573" t="s">
        <v>545</v>
      </c>
      <c r="F13" s="518">
        <v>1.3</v>
      </c>
      <c r="G13" s="510" t="s">
        <v>516</v>
      </c>
      <c r="H13" s="522">
        <v>2.6</v>
      </c>
      <c r="I13" s="509" t="s">
        <v>547</v>
      </c>
      <c r="J13" s="522">
        <v>2</v>
      </c>
      <c r="K13" s="509" t="s">
        <v>517</v>
      </c>
      <c r="L13" s="526">
        <v>2</v>
      </c>
      <c r="M13" s="578">
        <f t="shared" si="17"/>
        <v>2.184166666666667</v>
      </c>
      <c r="N13" s="578">
        <f>Viherkerroin!L14</f>
        <v>0</v>
      </c>
      <c r="O13" s="149"/>
      <c r="P13" s="113" t="s">
        <v>89</v>
      </c>
      <c r="V13" s="144"/>
      <c r="W13" s="144"/>
      <c r="AJ13" s="459">
        <f t="shared" si="7"/>
        <v>0</v>
      </c>
      <c r="AK13" s="459">
        <f t="shared" si="0"/>
        <v>0</v>
      </c>
      <c r="AL13" s="459">
        <f t="shared" si="1"/>
        <v>0</v>
      </c>
      <c r="AM13" s="459">
        <f t="shared" si="2"/>
        <v>0</v>
      </c>
      <c r="AN13" s="459">
        <f t="shared" si="18"/>
        <v>0</v>
      </c>
      <c r="AO13" s="460">
        <f t="shared" si="4"/>
        <v>0</v>
      </c>
      <c r="AP13" s="145"/>
      <c r="AQ13" s="461">
        <f t="shared" si="5"/>
        <v>0.26154139641358254</v>
      </c>
      <c r="AR13" s="461">
        <f t="shared" si="19"/>
        <v>0.1802111153503751</v>
      </c>
      <c r="AS13" s="461">
        <f t="shared" si="20"/>
        <v>0.20087752766119799</v>
      </c>
      <c r="AT13" s="461">
        <f t="shared" si="21"/>
        <v>0.12844970113188348</v>
      </c>
      <c r="AU13" s="461">
        <f t="shared" si="22"/>
        <v>0.22892025944296066</v>
      </c>
      <c r="AV13" s="462">
        <f t="shared" si="8"/>
        <v>0.99999999999999978</v>
      </c>
      <c r="AW13" s="150"/>
      <c r="AX13" s="81"/>
      <c r="AY13" s="438"/>
      <c r="AZ13" s="439"/>
      <c r="BA13" s="440"/>
      <c r="BB13" s="443"/>
      <c r="BC13" s="74"/>
      <c r="BD13" s="74"/>
      <c r="BE13" s="74"/>
      <c r="BF13" s="104">
        <f t="shared" si="9"/>
        <v>0</v>
      </c>
      <c r="BG13" s="74"/>
      <c r="BH13" s="74"/>
      <c r="BI13" s="74"/>
    </row>
    <row r="14" spans="1:77" ht="32" customHeight="1">
      <c r="A14" s="906"/>
      <c r="B14" s="511" t="s">
        <v>78</v>
      </c>
      <c r="C14" s="512" t="s">
        <v>26</v>
      </c>
      <c r="D14" s="519">
        <v>1.5</v>
      </c>
      <c r="E14" s="512" t="s">
        <v>79</v>
      </c>
      <c r="F14" s="519">
        <v>1</v>
      </c>
      <c r="G14" s="513" t="s">
        <v>80</v>
      </c>
      <c r="H14" s="523">
        <v>2</v>
      </c>
      <c r="I14" s="574" t="s">
        <v>81</v>
      </c>
      <c r="J14" s="523">
        <v>1.5</v>
      </c>
      <c r="K14" s="479" t="s">
        <v>194</v>
      </c>
      <c r="L14" s="527">
        <v>1.5</v>
      </c>
      <c r="M14" s="546">
        <f t="shared" ref="M14:M31" si="23">(D14*$AY$3+F14*$AY$9+H14*$AY$14+J14*$AY$15+L14*$AY$16)/5</f>
        <v>1.7017361111111107</v>
      </c>
      <c r="N14" s="578">
        <f>Viherkerroin!L15</f>
        <v>0</v>
      </c>
      <c r="O14" s="149">
        <f>(D14*$AY$3+F14*$AY$9+H14*$AY$14+J14*$AY$15+L14*$AY$16)/($AY$3+$AY$9+$AY$14+$AY$15+$AY$16)</f>
        <v>1.443168433451119</v>
      </c>
      <c r="V14" s="144"/>
      <c r="W14" s="144"/>
      <c r="AJ14" s="459">
        <f t="shared" si="7"/>
        <v>0</v>
      </c>
      <c r="AK14" s="459">
        <f t="shared" si="0"/>
        <v>0</v>
      </c>
      <c r="AL14" s="459">
        <f t="shared" si="1"/>
        <v>0</v>
      </c>
      <c r="AM14" s="459">
        <f t="shared" si="2"/>
        <v>0</v>
      </c>
      <c r="AN14" s="459">
        <f t="shared" si="3"/>
        <v>0</v>
      </c>
      <c r="AO14" s="460">
        <f t="shared" si="4"/>
        <v>0</v>
      </c>
      <c r="AP14" s="114"/>
      <c r="AQ14" s="461">
        <f t="shared" si="5"/>
        <v>0.27973882881044687</v>
      </c>
      <c r="AR14" s="461">
        <f t="shared" ref="AR14:AR20" si="24">F14*$AY$9/5/M14</f>
        <v>0.17792287288308509</v>
      </c>
      <c r="AS14" s="461">
        <f t="shared" ref="AS14:AS20" si="25">H14*$AY$14/5/M14</f>
        <v>0.19832687206692518</v>
      </c>
      <c r="AT14" s="461">
        <f t="shared" ref="AT14:AT20" si="26">J14*$AY$15/5/M14</f>
        <v>0.12364823505407062</v>
      </c>
      <c r="AU14" s="461">
        <f t="shared" ref="AU14:AU20" si="27">L14*$AY$16/5/M14</f>
        <v>0.2203631911854724</v>
      </c>
      <c r="AV14" s="462">
        <f t="shared" si="8"/>
        <v>1.0000000000000002</v>
      </c>
      <c r="AW14" s="150"/>
      <c r="AX14" s="81" t="s">
        <v>12</v>
      </c>
      <c r="AY14" s="438">
        <v>0.84375</v>
      </c>
      <c r="AZ14" s="444" t="s">
        <v>23</v>
      </c>
      <c r="BA14" s="445">
        <f>AY14/$BA$2</f>
        <v>0.14310954063604242</v>
      </c>
      <c r="BB14" s="443"/>
      <c r="BC14" s="104"/>
      <c r="BD14" s="74"/>
      <c r="BE14" s="74"/>
      <c r="BF14" s="104">
        <f t="shared" si="9"/>
        <v>0</v>
      </c>
      <c r="BG14" s="74"/>
      <c r="BH14" s="74"/>
      <c r="BI14" s="74"/>
    </row>
    <row r="15" spans="1:77" ht="32" customHeight="1">
      <c r="A15" s="906"/>
      <c r="B15" s="511" t="s">
        <v>83</v>
      </c>
      <c r="C15" s="512" t="s">
        <v>25</v>
      </c>
      <c r="D15" s="519">
        <v>1</v>
      </c>
      <c r="E15" s="512" t="s">
        <v>28</v>
      </c>
      <c r="F15" s="519">
        <v>1</v>
      </c>
      <c r="G15" s="513" t="s">
        <v>33</v>
      </c>
      <c r="H15" s="523">
        <v>2</v>
      </c>
      <c r="I15" s="479" t="s">
        <v>84</v>
      </c>
      <c r="J15" s="523">
        <v>1.5</v>
      </c>
      <c r="K15" s="479" t="s">
        <v>195</v>
      </c>
      <c r="L15" s="527">
        <v>1</v>
      </c>
      <c r="M15" s="546">
        <f t="shared" si="23"/>
        <v>1.4180555555555554</v>
      </c>
      <c r="N15" s="578">
        <f>Viherkerroin!L16</f>
        <v>0</v>
      </c>
      <c r="O15" s="149">
        <f>(D15*$AY$3+F15*$AY$9+H15*$AY$14+J15*$AY$15+L15*$AY$16)/($AY$3+$AY$9+$AY$14+$AY$15+$AY$16)</f>
        <v>1.2025912838633688</v>
      </c>
      <c r="V15" s="144"/>
      <c r="W15" s="144"/>
      <c r="AJ15" s="459">
        <f t="shared" si="7"/>
        <v>0</v>
      </c>
      <c r="AK15" s="459">
        <f t="shared" si="0"/>
        <v>0</v>
      </c>
      <c r="AL15" s="459">
        <f t="shared" si="1"/>
        <v>0</v>
      </c>
      <c r="AM15" s="459">
        <f t="shared" si="2"/>
        <v>0</v>
      </c>
      <c r="AN15" s="459">
        <f t="shared" si="3"/>
        <v>0</v>
      </c>
      <c r="AO15" s="460">
        <f t="shared" si="4"/>
        <v>0</v>
      </c>
      <c r="AP15" s="114"/>
      <c r="AQ15" s="461">
        <f t="shared" si="5"/>
        <v>0.22380019588638592</v>
      </c>
      <c r="AR15" s="461">
        <f t="shared" si="24"/>
        <v>0.2135161606268364</v>
      </c>
      <c r="AS15" s="461">
        <f t="shared" si="25"/>
        <v>0.238001958863859</v>
      </c>
      <c r="AT15" s="461">
        <f t="shared" si="26"/>
        <v>0.14838393731635652</v>
      </c>
      <c r="AU15" s="461">
        <f t="shared" si="27"/>
        <v>0.17629774730656222</v>
      </c>
      <c r="AV15" s="462">
        <f t="shared" si="8"/>
        <v>1</v>
      </c>
      <c r="AW15" s="150"/>
      <c r="AX15" s="81" t="s">
        <v>6</v>
      </c>
      <c r="AY15" s="438">
        <v>0.70138888888888884</v>
      </c>
      <c r="AZ15" s="439" t="s">
        <v>20</v>
      </c>
      <c r="BA15" s="445">
        <f>AY15/$BA$2</f>
        <v>0.11896348645465255</v>
      </c>
      <c r="BB15" s="443"/>
      <c r="BC15" s="104"/>
      <c r="BD15" s="74"/>
      <c r="BE15" s="74"/>
      <c r="BF15" s="104">
        <f t="shared" si="9"/>
        <v>0</v>
      </c>
      <c r="BG15" s="74"/>
      <c r="BH15" s="74"/>
      <c r="BI15" s="74"/>
    </row>
    <row r="16" spans="1:77" ht="32" customHeight="1">
      <c r="A16" s="906"/>
      <c r="B16" s="511" t="s">
        <v>366</v>
      </c>
      <c r="C16" s="512" t="s">
        <v>290</v>
      </c>
      <c r="D16" s="519">
        <v>1.5</v>
      </c>
      <c r="E16" s="512" t="s">
        <v>29</v>
      </c>
      <c r="F16" s="519">
        <v>1</v>
      </c>
      <c r="G16" s="513" t="s">
        <v>86</v>
      </c>
      <c r="H16" s="523">
        <v>2</v>
      </c>
      <c r="I16" s="479" t="s">
        <v>87</v>
      </c>
      <c r="J16" s="523">
        <v>1</v>
      </c>
      <c r="K16" s="479" t="s">
        <v>196</v>
      </c>
      <c r="L16" s="527">
        <v>1.5</v>
      </c>
      <c r="M16" s="546">
        <f t="shared" si="23"/>
        <v>1.6315972222222221</v>
      </c>
      <c r="N16" s="578">
        <f>Viherkerroin!L17</f>
        <v>0</v>
      </c>
      <c r="O16" s="149">
        <f>(D16*$AY$3+F16*$AY$9+H16*$AY$14+J16*$AY$15+L16*$AY$16)/($AY$3+$AY$9+$AY$14+$AY$15+$AY$16)</f>
        <v>1.383686690223793</v>
      </c>
      <c r="V16" s="144"/>
      <c r="W16" s="144"/>
      <c r="AJ16" s="459">
        <f t="shared" si="7"/>
        <v>0</v>
      </c>
      <c r="AK16" s="459">
        <f t="shared" si="0"/>
        <v>0</v>
      </c>
      <c r="AL16" s="459">
        <f t="shared" si="1"/>
        <v>0</v>
      </c>
      <c r="AM16" s="459">
        <f t="shared" si="2"/>
        <v>0</v>
      </c>
      <c r="AN16" s="459">
        <f t="shared" si="3"/>
        <v>0</v>
      </c>
      <c r="AO16" s="460">
        <f t="shared" si="4"/>
        <v>0</v>
      </c>
      <c r="AP16" s="114"/>
      <c r="AQ16" s="461">
        <f t="shared" si="5"/>
        <v>0.29176420515003187</v>
      </c>
      <c r="AR16" s="461">
        <f t="shared" si="24"/>
        <v>0.18557139816982332</v>
      </c>
      <c r="AS16" s="461">
        <f t="shared" si="25"/>
        <v>0.20685252181315175</v>
      </c>
      <c r="AT16" s="461">
        <f t="shared" si="26"/>
        <v>8.5975739519046607E-2</v>
      </c>
      <c r="AU16" s="461">
        <f t="shared" si="27"/>
        <v>0.22983613534794639</v>
      </c>
      <c r="AV16" s="462">
        <f t="shared" si="8"/>
        <v>1</v>
      </c>
      <c r="AW16" s="150"/>
      <c r="AX16" s="81" t="s">
        <v>176</v>
      </c>
      <c r="AY16" s="438">
        <v>1.25</v>
      </c>
      <c r="AZ16" s="439" t="s">
        <v>19</v>
      </c>
      <c r="BA16" s="445">
        <f>AY16/$BA$2</f>
        <v>0.21201413427561841</v>
      </c>
      <c r="BB16" s="89">
        <f>SUM(BA3:BA16)</f>
        <v>1</v>
      </c>
      <c r="BC16" s="74"/>
      <c r="BD16" s="74"/>
      <c r="BE16" s="74"/>
      <c r="BF16" s="104">
        <f t="shared" si="9"/>
        <v>0</v>
      </c>
      <c r="BG16" s="74"/>
      <c r="BH16" s="74"/>
      <c r="BI16" s="74"/>
    </row>
    <row r="17" spans="1:61" ht="32" customHeight="1">
      <c r="A17" s="906"/>
      <c r="B17" s="511" t="s">
        <v>367</v>
      </c>
      <c r="C17" s="512" t="s">
        <v>291</v>
      </c>
      <c r="D17" s="519">
        <v>2</v>
      </c>
      <c r="E17" s="479" t="s">
        <v>292</v>
      </c>
      <c r="F17" s="519">
        <v>1</v>
      </c>
      <c r="G17" s="513" t="s">
        <v>42</v>
      </c>
      <c r="H17" s="523">
        <v>1.5</v>
      </c>
      <c r="I17" s="479" t="s">
        <v>293</v>
      </c>
      <c r="J17" s="523">
        <v>2</v>
      </c>
      <c r="K17" s="479" t="s">
        <v>218</v>
      </c>
      <c r="L17" s="527">
        <v>1.2</v>
      </c>
      <c r="M17" s="546">
        <f>(D17*$AY$3+F17*$AY$9+H17*$AY$14+J17*$AY$15+L17*$AY$16)/5</f>
        <v>1.7711805555555553</v>
      </c>
      <c r="N17" s="578">
        <f>Viherkerroin!L18</f>
        <v>0</v>
      </c>
      <c r="O17" s="149">
        <f>(D17*$AY$3+F17*$AY$9+H17*$AY$14+J17*$AY$15+L17*$AY$16)/($AY$3+$AY$9+$AY$14+$AY$15+$AY$16)</f>
        <v>1.5020612485276799</v>
      </c>
      <c r="V17" s="144"/>
      <c r="W17" s="144"/>
      <c r="AJ17" s="459">
        <f t="shared" si="7"/>
        <v>0</v>
      </c>
      <c r="AK17" s="459">
        <f t="shared" si="0"/>
        <v>0</v>
      </c>
      <c r="AL17" s="459">
        <f t="shared" si="1"/>
        <v>0</v>
      </c>
      <c r="AM17" s="459">
        <f t="shared" si="2"/>
        <v>0</v>
      </c>
      <c r="AN17" s="459">
        <f t="shared" si="3"/>
        <v>0</v>
      </c>
      <c r="AO17" s="460">
        <f t="shared" si="4"/>
        <v>0</v>
      </c>
      <c r="AP17" s="114"/>
      <c r="AQ17" s="461">
        <f t="shared" si="5"/>
        <v>0.35836110566555579</v>
      </c>
      <c r="AR17" s="461">
        <f t="shared" si="24"/>
        <v>0.17094687316212506</v>
      </c>
      <c r="AS17" s="461">
        <f t="shared" si="25"/>
        <v>0.14291315428347384</v>
      </c>
      <c r="AT17" s="461">
        <f t="shared" si="26"/>
        <v>0.15840031366398746</v>
      </c>
      <c r="AU17" s="461">
        <f t="shared" si="27"/>
        <v>0.1693785532248579</v>
      </c>
      <c r="AV17" s="462">
        <f t="shared" si="8"/>
        <v>1</v>
      </c>
      <c r="AW17" s="150"/>
      <c r="AX17" s="907" t="s">
        <v>17</v>
      </c>
      <c r="AY17" s="81" t="s">
        <v>4</v>
      </c>
      <c r="AZ17" s="81" t="s">
        <v>5</v>
      </c>
      <c r="BA17" s="81" t="s">
        <v>12</v>
      </c>
      <c r="BB17" s="81" t="s">
        <v>6</v>
      </c>
      <c r="BC17" s="81" t="s">
        <v>176</v>
      </c>
      <c r="BD17" s="81" t="s">
        <v>16</v>
      </c>
      <c r="BE17" s="74"/>
      <c r="BF17" s="104">
        <f t="shared" si="9"/>
        <v>0</v>
      </c>
      <c r="BG17" s="74"/>
      <c r="BH17" s="74"/>
      <c r="BI17" s="74"/>
    </row>
    <row r="18" spans="1:61" ht="32" customHeight="1">
      <c r="A18" s="906"/>
      <c r="B18" s="511" t="s">
        <v>321</v>
      </c>
      <c r="C18" s="512" t="s">
        <v>294</v>
      </c>
      <c r="D18" s="519">
        <v>1</v>
      </c>
      <c r="E18" s="479" t="s">
        <v>91</v>
      </c>
      <c r="F18" s="519">
        <v>3</v>
      </c>
      <c r="G18" s="513" t="s">
        <v>92</v>
      </c>
      <c r="H18" s="523">
        <v>1.5</v>
      </c>
      <c r="I18" s="479" t="s">
        <v>93</v>
      </c>
      <c r="J18" s="523">
        <v>2</v>
      </c>
      <c r="K18" s="479" t="s">
        <v>197</v>
      </c>
      <c r="L18" s="527">
        <v>1</v>
      </c>
      <c r="M18" s="546">
        <f t="shared" si="23"/>
        <v>2.0093749999999999</v>
      </c>
      <c r="N18" s="578">
        <f>Viherkerroin!L19</f>
        <v>0</v>
      </c>
      <c r="O18" s="149">
        <f>(D18*$AY$3+F18*$AY$9+H18*$AY$14+J18*$AY$15+L18*$AY$16)/($AY$3+$AY$9+$AY$14+$AY$15+$AY$16)</f>
        <v>1.704063604240283</v>
      </c>
      <c r="P18" s="115"/>
      <c r="V18" s="144"/>
      <c r="W18" s="144"/>
      <c r="AJ18" s="459">
        <f t="shared" si="7"/>
        <v>0</v>
      </c>
      <c r="AK18" s="459">
        <f t="shared" si="0"/>
        <v>0</v>
      </c>
      <c r="AL18" s="459">
        <f t="shared" si="1"/>
        <v>0</v>
      </c>
      <c r="AM18" s="459">
        <f t="shared" si="2"/>
        <v>0</v>
      </c>
      <c r="AN18" s="459">
        <f t="shared" si="3"/>
        <v>0</v>
      </c>
      <c r="AO18" s="460">
        <f t="shared" si="4"/>
        <v>0</v>
      </c>
      <c r="AP18" s="114"/>
      <c r="AQ18" s="461">
        <f t="shared" si="5"/>
        <v>0.15794021081734924</v>
      </c>
      <c r="AR18" s="461">
        <f t="shared" si="24"/>
        <v>0.45204769310523585</v>
      </c>
      <c r="AS18" s="461">
        <f t="shared" si="25"/>
        <v>0.12597200622083982</v>
      </c>
      <c r="AT18" s="461">
        <f t="shared" si="26"/>
        <v>0.13962329358907899</v>
      </c>
      <c r="AU18" s="461">
        <f t="shared" si="27"/>
        <v>0.12441679626749612</v>
      </c>
      <c r="AV18" s="462">
        <f t="shared" si="8"/>
        <v>1</v>
      </c>
      <c r="AW18" s="150"/>
      <c r="AX18" s="907"/>
      <c r="AY18" s="446">
        <f>SUM(AJ43)/SUM($AO43)</f>
        <v>0.34894375159073554</v>
      </c>
      <c r="AZ18" s="446">
        <f>SUM(AK43)/SUM($AO43)</f>
        <v>0.22193942479002288</v>
      </c>
      <c r="BA18" s="446">
        <f>SUM(AL43)/SUM($AO43)</f>
        <v>0</v>
      </c>
      <c r="BB18" s="446">
        <f>SUM(AM43)/SUM($AO43)</f>
        <v>0.15423771952150675</v>
      </c>
      <c r="BC18" s="446">
        <f>SUM(AN43)/SUM($AO43)</f>
        <v>0.27487910409773481</v>
      </c>
      <c r="BD18" s="446">
        <f>SUM(AY18:BC18)</f>
        <v>1</v>
      </c>
      <c r="BE18" s="74"/>
      <c r="BF18" s="104">
        <f t="shared" si="9"/>
        <v>0</v>
      </c>
      <c r="BG18" s="74"/>
      <c r="BH18" s="74"/>
      <c r="BI18" s="74"/>
    </row>
    <row r="19" spans="1:61" ht="32" customHeight="1">
      <c r="A19" s="906"/>
      <c r="B19" s="511" t="s">
        <v>274</v>
      </c>
      <c r="C19" s="512" t="s">
        <v>295</v>
      </c>
      <c r="D19" s="519">
        <v>1.5</v>
      </c>
      <c r="E19" s="479" t="s">
        <v>296</v>
      </c>
      <c r="F19" s="519">
        <v>0.5</v>
      </c>
      <c r="G19" s="513" t="s">
        <v>297</v>
      </c>
      <c r="H19" s="523">
        <v>2</v>
      </c>
      <c r="I19" s="479" t="s">
        <v>299</v>
      </c>
      <c r="J19" s="523">
        <v>2</v>
      </c>
      <c r="K19" s="479" t="s">
        <v>298</v>
      </c>
      <c r="L19" s="527">
        <v>1.5</v>
      </c>
      <c r="M19" s="546">
        <f t="shared" si="23"/>
        <v>1.6204861111111106</v>
      </c>
      <c r="N19" s="578">
        <f>Viherkerroin!L20</f>
        <v>0</v>
      </c>
      <c r="O19" s="149">
        <f>(D20*$AY$3+F20*$AY$9+H20*$AY$14+J20*$AY$15+L20*$AY$16)/($AY$3+$AY$9+$AY$14+$AY$15+$AY$16)</f>
        <v>0.93433451118963506</v>
      </c>
      <c r="V19" s="144"/>
      <c r="W19" s="144"/>
      <c r="AJ19" s="459">
        <f t="shared" si="7"/>
        <v>0</v>
      </c>
      <c r="AK19" s="459">
        <f t="shared" si="0"/>
        <v>0</v>
      </c>
      <c r="AL19" s="459">
        <f t="shared" si="1"/>
        <v>0</v>
      </c>
      <c r="AM19" s="459">
        <f t="shared" si="2"/>
        <v>0</v>
      </c>
      <c r="AN19" s="459">
        <f t="shared" si="3"/>
        <v>0</v>
      </c>
      <c r="AO19" s="460">
        <f t="shared" si="4"/>
        <v>0</v>
      </c>
      <c r="AP19" s="114"/>
      <c r="AQ19" s="461">
        <f t="shared" si="5"/>
        <v>0.29376473109063644</v>
      </c>
      <c r="AR19" s="461">
        <f t="shared" si="24"/>
        <v>9.3421898435826017E-2</v>
      </c>
      <c r="AS19" s="461">
        <f t="shared" si="25"/>
        <v>0.20827083779730027</v>
      </c>
      <c r="AT19" s="461">
        <f t="shared" si="26"/>
        <v>0.17313049067923725</v>
      </c>
      <c r="AU19" s="461">
        <f t="shared" si="27"/>
        <v>0.23141204199700027</v>
      </c>
      <c r="AV19" s="462">
        <f t="shared" si="8"/>
        <v>1.0000000000000002</v>
      </c>
      <c r="AW19" s="150"/>
      <c r="AX19" s="447" t="s">
        <v>107</v>
      </c>
      <c r="AY19" s="81" t="s">
        <v>121</v>
      </c>
      <c r="AZ19" s="81" t="s">
        <v>122</v>
      </c>
      <c r="BA19" s="81" t="s">
        <v>123</v>
      </c>
      <c r="BB19" s="81" t="s">
        <v>124</v>
      </c>
      <c r="BC19" s="81" t="s">
        <v>125</v>
      </c>
      <c r="BD19" s="81" t="s">
        <v>186</v>
      </c>
      <c r="BE19" s="74"/>
      <c r="BF19" s="104">
        <f t="shared" si="9"/>
        <v>0</v>
      </c>
      <c r="BG19" s="74"/>
      <c r="BH19" s="74"/>
      <c r="BI19" s="74"/>
    </row>
    <row r="20" spans="1:61" ht="32" customHeight="1">
      <c r="A20" s="906"/>
      <c r="B20" s="511" t="s">
        <v>368</v>
      </c>
      <c r="C20" s="512" t="s">
        <v>300</v>
      </c>
      <c r="D20" s="519">
        <v>0.5</v>
      </c>
      <c r="E20" s="479" t="s">
        <v>30</v>
      </c>
      <c r="F20" s="519">
        <v>1.5</v>
      </c>
      <c r="G20" s="513" t="s">
        <v>35</v>
      </c>
      <c r="H20" s="523">
        <v>1</v>
      </c>
      <c r="I20" s="479" t="s">
        <v>94</v>
      </c>
      <c r="J20" s="523">
        <v>0.5</v>
      </c>
      <c r="K20" s="479" t="s">
        <v>198</v>
      </c>
      <c r="L20" s="527">
        <v>1</v>
      </c>
      <c r="M20" s="546">
        <f t="shared" si="23"/>
        <v>1.101736111111111</v>
      </c>
      <c r="N20" s="578">
        <f>Viherkerroin!L21</f>
        <v>0</v>
      </c>
      <c r="O20" s="149">
        <f>(D21*$AY$3+F21*$AY$9+H21*$AY$14+J21*$AY$15+L21*$AY$16)/($AY$3+$AY$9+$AY$14+$AY$15+$AY$16)</f>
        <v>1.33716136631331</v>
      </c>
      <c r="P20" s="114"/>
      <c r="V20" s="144"/>
      <c r="W20" s="144"/>
      <c r="AI20" s="27"/>
      <c r="AJ20" s="459">
        <f t="shared" ref="AJ20" si="28">IF($N20&gt;0,AQ20,0)</f>
        <v>0</v>
      </c>
      <c r="AK20" s="459">
        <f t="shared" ref="AK20" si="29">IF($N20&gt;0,AR20,0)</f>
        <v>0</v>
      </c>
      <c r="AL20" s="459">
        <f t="shared" ref="AL20" si="30">IF($N20&gt;0,AS20,0)</f>
        <v>0</v>
      </c>
      <c r="AM20" s="459">
        <f t="shared" ref="AM20" si="31">IF($N20&gt;0,AT20,0)</f>
        <v>0</v>
      </c>
      <c r="AN20" s="459">
        <f t="shared" ref="AN20" si="32">IF($N20&gt;0,AU20,0)</f>
        <v>0</v>
      </c>
      <c r="AO20" s="460">
        <f t="shared" ref="AO20" si="33">SUM(AJ20:AN20)</f>
        <v>0</v>
      </c>
      <c r="AP20" s="114"/>
      <c r="AQ20" s="461">
        <f t="shared" ref="AQ20" si="34">D20*$AY$3/5/M20</f>
        <v>0.14402773400567287</v>
      </c>
      <c r="AR20" s="461">
        <f t="shared" si="24"/>
        <v>0.41222817522849037</v>
      </c>
      <c r="AS20" s="461">
        <f t="shared" si="25"/>
        <v>0.15316734951150332</v>
      </c>
      <c r="AT20" s="461">
        <f t="shared" si="26"/>
        <v>6.3662149385439654E-2</v>
      </c>
      <c r="AU20" s="461">
        <f t="shared" si="27"/>
        <v>0.22691459186889382</v>
      </c>
      <c r="AV20" s="462">
        <f t="shared" ref="AV20" si="35">SUM(AQ20:AU20)</f>
        <v>1</v>
      </c>
      <c r="AX20" s="448" t="s">
        <v>9</v>
      </c>
      <c r="AY20" s="449">
        <f>SUM(N2:N9)</f>
        <v>0</v>
      </c>
      <c r="AZ20" s="450" t="e">
        <f>AY20/Viherkerroin!$B$7</f>
        <v>#DIV/0!</v>
      </c>
      <c r="BA20" s="449">
        <f>SUM(BF2:BF9)</f>
        <v>0</v>
      </c>
      <c r="BB20" s="163">
        <f>COUNT(N2:N9)</f>
        <v>8</v>
      </c>
      <c r="BC20" s="450" t="e">
        <f t="shared" ref="BC20:BC25" si="36">BA20/$BA$26</f>
        <v>#DIV/0!</v>
      </c>
      <c r="BD20" s="450" t="e">
        <f>AY20/Viherkerroin!$B$9</f>
        <v>#DIV/0!</v>
      </c>
      <c r="BE20" s="74"/>
      <c r="BF20" s="104">
        <f t="shared" si="9"/>
        <v>0</v>
      </c>
      <c r="BG20" s="74"/>
      <c r="BH20" s="74"/>
      <c r="BI20" s="74"/>
    </row>
    <row r="21" spans="1:61" ht="32" customHeight="1" thickBot="1">
      <c r="A21" s="906"/>
      <c r="B21" s="514" t="s">
        <v>99</v>
      </c>
      <c r="C21" s="575" t="s">
        <v>258</v>
      </c>
      <c r="D21" s="576">
        <v>1.5</v>
      </c>
      <c r="E21" s="482" t="s">
        <v>27</v>
      </c>
      <c r="F21" s="520">
        <v>1</v>
      </c>
      <c r="G21" s="516" t="s">
        <v>100</v>
      </c>
      <c r="H21" s="524">
        <v>2</v>
      </c>
      <c r="I21" s="482" t="s">
        <v>101</v>
      </c>
      <c r="J21" s="524">
        <v>1.5</v>
      </c>
      <c r="K21" s="482" t="s">
        <v>323</v>
      </c>
      <c r="L21" s="528">
        <v>1</v>
      </c>
      <c r="M21" s="547">
        <f t="shared" si="23"/>
        <v>1.5767361111111109</v>
      </c>
      <c r="N21" s="586">
        <f>Viherkerroin!L22</f>
        <v>0</v>
      </c>
      <c r="O21" s="149">
        <f>(D22*$AY$3+F22*$AY$9+H22*$AY$14+J22*$AY$15+L22*$AY$16)/($AY$3+$AY$9+$AY$14+$AY$15+$AY$16)</f>
        <v>1.0591872791519437</v>
      </c>
      <c r="P21" s="114"/>
      <c r="V21" s="144"/>
      <c r="W21" s="144"/>
      <c r="AI21" s="27"/>
      <c r="AJ21" s="459">
        <f t="shared" ref="AJ21:AJ28" si="37">IF($N21&gt;0,AQ21,0)</f>
        <v>0</v>
      </c>
      <c r="AK21" s="459">
        <f t="shared" ref="AK21:AK28" si="38">IF($N21&gt;0,AR21,0)</f>
        <v>0</v>
      </c>
      <c r="AL21" s="459">
        <f t="shared" ref="AL21:AL28" si="39">IF($N21&gt;0,AS21,0)</f>
        <v>0</v>
      </c>
      <c r="AM21" s="459">
        <f t="shared" ref="AM21:AM28" si="40">IF($N21&gt;0,AT21,0)</f>
        <v>0</v>
      </c>
      <c r="AN21" s="459">
        <f t="shared" ref="AN21:AN28" si="41">IF($N21&gt;0,AU21,0)</f>
        <v>0</v>
      </c>
      <c r="AO21" s="460">
        <f t="shared" ref="AO21:AO28" si="42">SUM(AJ21:AN21)</f>
        <v>0</v>
      </c>
      <c r="AP21" s="114"/>
      <c r="AQ21" s="461">
        <f t="shared" ref="AQ21:AQ28" si="43">D21*$AY$3/5/M21</f>
        <v>0.30191587756000882</v>
      </c>
      <c r="AR21" s="461">
        <f t="shared" ref="AR21:AR28" si="44">F21*$AY$9/5/M21</f>
        <v>0.19202818762387136</v>
      </c>
      <c r="AS21" s="461">
        <f t="shared" ref="AS21:AS28" si="45">H21*$AY$14/5/M21</f>
        <v>0.21404976877339799</v>
      </c>
      <c r="AT21" s="461">
        <f t="shared" ref="AT21:AT28" si="46">J21*$AY$15/5/M21</f>
        <v>0.13345078176613082</v>
      </c>
      <c r="AU21" s="461">
        <f t="shared" ref="AU21:AU28" si="47">L21*$AY$16/5/M21</f>
        <v>0.15855538427659108</v>
      </c>
      <c r="AV21" s="462">
        <f t="shared" ref="AV21:AV28" si="48">SUM(AQ21:AU21)</f>
        <v>1</v>
      </c>
      <c r="AX21" s="451" t="s">
        <v>10</v>
      </c>
      <c r="AY21" s="449">
        <f>SUM(N10:N21)</f>
        <v>0</v>
      </c>
      <c r="AZ21" s="450" t="e">
        <f>AY21/Viherkerroin!$B$7</f>
        <v>#DIV/0!</v>
      </c>
      <c r="BA21" s="449">
        <f>SUM(BF10:BF21)</f>
        <v>0</v>
      </c>
      <c r="BB21" s="163">
        <f>COUNT(N10:N21)</f>
        <v>12</v>
      </c>
      <c r="BC21" s="450" t="e">
        <f t="shared" si="36"/>
        <v>#DIV/0!</v>
      </c>
      <c r="BD21" s="450" t="e">
        <f>AY21/Viherkerroin!$B$9</f>
        <v>#DIV/0!</v>
      </c>
      <c r="BE21" s="74"/>
      <c r="BF21" s="104">
        <f t="shared" si="9"/>
        <v>0</v>
      </c>
      <c r="BG21" s="74"/>
      <c r="BH21" s="74"/>
      <c r="BI21" s="74"/>
    </row>
    <row r="22" spans="1:61" ht="32" customHeight="1">
      <c r="A22" s="900" t="s">
        <v>275</v>
      </c>
      <c r="B22" s="530" t="s">
        <v>360</v>
      </c>
      <c r="C22" s="483" t="s">
        <v>200</v>
      </c>
      <c r="D22" s="531">
        <v>1.5</v>
      </c>
      <c r="E22" s="532" t="s">
        <v>36</v>
      </c>
      <c r="F22" s="531">
        <v>1</v>
      </c>
      <c r="G22" s="533" t="s">
        <v>102</v>
      </c>
      <c r="H22" s="534">
        <v>2</v>
      </c>
      <c r="I22" s="532" t="s">
        <v>103</v>
      </c>
      <c r="J22" s="534">
        <v>0.5</v>
      </c>
      <c r="K22" s="535" t="s">
        <v>199</v>
      </c>
      <c r="L22" s="542">
        <v>0.25</v>
      </c>
      <c r="M22" s="545">
        <f t="shared" si="23"/>
        <v>1.2489583333333332</v>
      </c>
      <c r="N22" s="539">
        <f>Viherkerroin!L23</f>
        <v>0</v>
      </c>
      <c r="O22" s="149">
        <f>(D27*$AY$3+F27*$AY$9+H27*$AY$14+J27*$AY$15+L27*$AY$16)/($AY$3+$AY$9+$AY$14+$AY$15+$AY$16)</f>
        <v>0.78468786808009428</v>
      </c>
      <c r="V22" s="144"/>
      <c r="W22" s="144"/>
      <c r="AI22" s="27"/>
      <c r="AJ22" s="459">
        <f t="shared" ref="AJ22:AN25" si="49">IF($N22&gt;0,AQ22,0)</f>
        <v>0</v>
      </c>
      <c r="AK22" s="459">
        <f t="shared" si="49"/>
        <v>0</v>
      </c>
      <c r="AL22" s="459">
        <f t="shared" si="49"/>
        <v>0</v>
      </c>
      <c r="AM22" s="459">
        <f t="shared" si="49"/>
        <v>0</v>
      </c>
      <c r="AN22" s="459">
        <f t="shared" si="49"/>
        <v>0</v>
      </c>
      <c r="AO22" s="460">
        <f>SUM(AJ22:AN22)</f>
        <v>0</v>
      </c>
      <c r="AP22" s="114"/>
      <c r="AQ22" s="461">
        <f>D22*$AY$3/5/M22</f>
        <v>0.38115095913261049</v>
      </c>
      <c r="AR22" s="461">
        <f>F22*$AY$9/5/M22</f>
        <v>0.2424242424242424</v>
      </c>
      <c r="AS22" s="461">
        <f>H22*$AY$14/5/M22</f>
        <v>0.27022518765638037</v>
      </c>
      <c r="AT22" s="461">
        <f>J22*$AY$15/5/M22</f>
        <v>5.6157909368918554E-2</v>
      </c>
      <c r="AU22" s="461">
        <f>L22*$AY$16/5/M22</f>
        <v>5.0041701417848215E-2</v>
      </c>
      <c r="AV22" s="462">
        <f>SUM(AQ22:AU22)</f>
        <v>1</v>
      </c>
      <c r="AX22" s="451" t="s">
        <v>275</v>
      </c>
      <c r="AY22" s="449">
        <f>SUM(N22:N25)</f>
        <v>0</v>
      </c>
      <c r="AZ22" s="450" t="e">
        <f>AY22/Viherkerroin!$B$7</f>
        <v>#DIV/0!</v>
      </c>
      <c r="BA22" s="449">
        <f>SUM(BF22:BF25)</f>
        <v>0</v>
      </c>
      <c r="BB22" s="163">
        <f>COUNT(N22:N25)</f>
        <v>4</v>
      </c>
      <c r="BC22" s="450" t="e">
        <f t="shared" si="36"/>
        <v>#DIV/0!</v>
      </c>
      <c r="BD22" s="450" t="e">
        <f>AY22/Viherkerroin!$B$9</f>
        <v>#DIV/0!</v>
      </c>
      <c r="BE22" s="74"/>
      <c r="BF22" s="104">
        <f t="shared" si="9"/>
        <v>0</v>
      </c>
      <c r="BG22" s="74"/>
      <c r="BH22" s="74"/>
      <c r="BI22" s="74"/>
    </row>
    <row r="23" spans="1:61" ht="32" customHeight="1">
      <c r="A23" s="901"/>
      <c r="B23" s="511" t="s">
        <v>361</v>
      </c>
      <c r="C23" s="512" t="s">
        <v>221</v>
      </c>
      <c r="D23" s="519">
        <v>1.5</v>
      </c>
      <c r="E23" s="479" t="s">
        <v>224</v>
      </c>
      <c r="F23" s="519">
        <v>1.5</v>
      </c>
      <c r="G23" s="513" t="s">
        <v>95</v>
      </c>
      <c r="H23" s="523">
        <v>2</v>
      </c>
      <c r="I23" s="479" t="s">
        <v>96</v>
      </c>
      <c r="J23" s="523">
        <v>1</v>
      </c>
      <c r="K23" s="536" t="s">
        <v>217</v>
      </c>
      <c r="L23" s="543">
        <v>2.5</v>
      </c>
      <c r="M23" s="546">
        <f t="shared" si="23"/>
        <v>2.0329861111111112</v>
      </c>
      <c r="N23" s="540">
        <f>Viherkerroin!L24</f>
        <v>0</v>
      </c>
      <c r="O23" s="149">
        <f>(D24*$AY$3+F24*$AY$9+H24*$AY$14+J24*$AY$15+L24*$AY$16)/($AY$3+$AY$9+$AY$14+$AY$15+$AY$16)</f>
        <v>1.418138987043581</v>
      </c>
      <c r="V23" s="144"/>
      <c r="W23" s="144"/>
      <c r="AI23" s="27"/>
      <c r="AJ23" s="459">
        <f t="shared" si="49"/>
        <v>0</v>
      </c>
      <c r="AK23" s="459">
        <f t="shared" si="49"/>
        <v>0</v>
      </c>
      <c r="AL23" s="459">
        <f t="shared" si="49"/>
        <v>0</v>
      </c>
      <c r="AM23" s="459">
        <f t="shared" si="49"/>
        <v>0</v>
      </c>
      <c r="AN23" s="459">
        <f t="shared" si="49"/>
        <v>0</v>
      </c>
      <c r="AO23" s="460">
        <f>SUM(AJ23:AN23)</f>
        <v>0</v>
      </c>
      <c r="AP23" s="114"/>
      <c r="AQ23" s="461">
        <f>D23*$AY$3/5/M23</f>
        <v>0.23415883859948758</v>
      </c>
      <c r="AR23" s="461">
        <f>F23*$AY$9/5/M23</f>
        <v>0.223398804440649</v>
      </c>
      <c r="AS23" s="461">
        <f>H23*$AY$14/5/M23</f>
        <v>0.16601195559350984</v>
      </c>
      <c r="AT23" s="461">
        <f>J23*$AY$15/5/M23</f>
        <v>6.900085397096499E-2</v>
      </c>
      <c r="AU23" s="461">
        <f>L23*$AY$16/5/M23</f>
        <v>0.30742954739538852</v>
      </c>
      <c r="AV23" s="462">
        <f>SUM(AQ23:AU23)</f>
        <v>1</v>
      </c>
      <c r="AW23" s="150"/>
      <c r="AX23" s="451" t="s">
        <v>11</v>
      </c>
      <c r="AY23" s="449">
        <f>SUM(N26:N27)</f>
        <v>0</v>
      </c>
      <c r="AZ23" s="450" t="e">
        <f>AY23/Viherkerroin!$B$7</f>
        <v>#DIV/0!</v>
      </c>
      <c r="BA23" s="449">
        <f>SUM(BF26:BF27)</f>
        <v>0</v>
      </c>
      <c r="BB23" s="163">
        <f>COUNT(N26:N27)</f>
        <v>2</v>
      </c>
      <c r="BC23" s="450" t="e">
        <f t="shared" si="36"/>
        <v>#DIV/0!</v>
      </c>
      <c r="BD23" s="450" t="e">
        <f>AY23/Viherkerroin!$B$9</f>
        <v>#DIV/0!</v>
      </c>
      <c r="BE23" s="74"/>
      <c r="BF23" s="104">
        <f t="shared" si="9"/>
        <v>0</v>
      </c>
      <c r="BG23" s="74"/>
      <c r="BH23" s="74"/>
      <c r="BI23" s="74"/>
    </row>
    <row r="24" spans="1:61" ht="32" customHeight="1">
      <c r="A24" s="901"/>
      <c r="B24" s="511" t="s">
        <v>362</v>
      </c>
      <c r="C24" s="529" t="s">
        <v>325</v>
      </c>
      <c r="D24" s="518">
        <v>1.5</v>
      </c>
      <c r="E24" s="479" t="s">
        <v>223</v>
      </c>
      <c r="F24" s="519">
        <v>1</v>
      </c>
      <c r="G24" s="513" t="s">
        <v>97</v>
      </c>
      <c r="H24" s="523">
        <v>1.5</v>
      </c>
      <c r="I24" s="479" t="s">
        <v>98</v>
      </c>
      <c r="J24" s="523">
        <v>1</v>
      </c>
      <c r="K24" s="536" t="s">
        <v>216</v>
      </c>
      <c r="L24" s="543">
        <v>2</v>
      </c>
      <c r="M24" s="546">
        <f t="shared" si="23"/>
        <v>1.6722222222222221</v>
      </c>
      <c r="N24" s="540">
        <f>Viherkerroin!L25</f>
        <v>0</v>
      </c>
      <c r="O24" s="149">
        <f>(D25*$AY$3+F25*$AY$9+H25*$AY$14+J25*$AY$15+L25*$AY$16)/($AY$3+$AY$9+$AY$14+$AY$15+$AY$16)</f>
        <v>1.1775618374558303</v>
      </c>
      <c r="P24" s="115"/>
      <c r="V24" s="144"/>
      <c r="W24" s="144"/>
      <c r="AI24" s="27"/>
      <c r="AJ24" s="459">
        <f t="shared" si="49"/>
        <v>0</v>
      </c>
      <c r="AK24" s="459">
        <f t="shared" si="49"/>
        <v>0</v>
      </c>
      <c r="AL24" s="459">
        <f t="shared" si="49"/>
        <v>0</v>
      </c>
      <c r="AM24" s="459">
        <f t="shared" si="49"/>
        <v>0</v>
      </c>
      <c r="AN24" s="459">
        <f t="shared" si="49"/>
        <v>0</v>
      </c>
      <c r="AO24" s="460">
        <f>SUM(AJ24:AN24)</f>
        <v>0</v>
      </c>
      <c r="AP24" s="114"/>
      <c r="AQ24" s="461">
        <f>D24*$AY$3/5/M24</f>
        <v>0.28467607973421927</v>
      </c>
      <c r="AR24" s="461">
        <f>F24*$AY$9/5/M24</f>
        <v>0.181063122923588</v>
      </c>
      <c r="AS24" s="461">
        <f>H24*$AY$14/5/M24</f>
        <v>0.15137043189368771</v>
      </c>
      <c r="AT24" s="461">
        <f>J24*$AY$15/5/M24</f>
        <v>8.3887043189368779E-2</v>
      </c>
      <c r="AU24" s="461">
        <f>L24*$AY$16/5/M24</f>
        <v>0.29900332225913623</v>
      </c>
      <c r="AV24" s="462">
        <f>SUM(AQ24:AU24)</f>
        <v>1</v>
      </c>
      <c r="AW24" s="150"/>
      <c r="AX24" s="451" t="s">
        <v>8</v>
      </c>
      <c r="AY24" s="449">
        <f>SUM(N28:N34)</f>
        <v>0</v>
      </c>
      <c r="AZ24" s="450" t="e">
        <f>AY24/Viherkerroin!$B$7</f>
        <v>#DIV/0!</v>
      </c>
      <c r="BA24" s="449">
        <f>SUM(BF28:BF34)</f>
        <v>0</v>
      </c>
      <c r="BB24" s="595">
        <f>COUNTA(N28:N34)+1</f>
        <v>8</v>
      </c>
      <c r="BC24" s="450" t="e">
        <f t="shared" si="36"/>
        <v>#DIV/0!</v>
      </c>
      <c r="BD24" s="450" t="e">
        <f>AY24/Viherkerroin!$B$9</f>
        <v>#DIV/0!</v>
      </c>
      <c r="BE24" s="74"/>
      <c r="BF24" s="104">
        <f t="shared" ref="BF24:BF25" si="50">IF(AND(N24&gt;0,N24&lt;&gt;"-"),1,0)</f>
        <v>0</v>
      </c>
      <c r="BG24" s="74"/>
      <c r="BH24" s="74"/>
      <c r="BI24" s="74"/>
    </row>
    <row r="25" spans="1:61" ht="32" customHeight="1" thickBot="1">
      <c r="A25" s="902"/>
      <c r="B25" s="514" t="s">
        <v>363</v>
      </c>
      <c r="C25" s="515" t="s">
        <v>255</v>
      </c>
      <c r="D25" s="520">
        <v>1</v>
      </c>
      <c r="E25" s="482" t="s">
        <v>220</v>
      </c>
      <c r="F25" s="520">
        <v>1</v>
      </c>
      <c r="G25" s="516" t="s">
        <v>219</v>
      </c>
      <c r="H25" s="524">
        <v>1.5</v>
      </c>
      <c r="I25" s="482" t="s">
        <v>98</v>
      </c>
      <c r="J25" s="524">
        <v>1</v>
      </c>
      <c r="K25" s="537" t="s">
        <v>216</v>
      </c>
      <c r="L25" s="544">
        <v>1.5</v>
      </c>
      <c r="M25" s="547">
        <f t="shared" si="23"/>
        <v>1.3885416666666663</v>
      </c>
      <c r="N25" s="541">
        <f>Viherkerroin!L26</f>
        <v>0</v>
      </c>
      <c r="O25" s="149">
        <f>(D29*$AY$3+F29*$AY$9+H29*$AY$14+J29*$AY$15+L29*$AY$16)/($AY$3+$AY$9+$AY$14+$AY$15+$AY$16)</f>
        <v>1.8753828032979978</v>
      </c>
      <c r="P25" s="119"/>
      <c r="V25" s="144"/>
      <c r="W25" s="144"/>
      <c r="AJ25" s="459">
        <f t="shared" si="49"/>
        <v>0</v>
      </c>
      <c r="AK25" s="459">
        <f t="shared" si="49"/>
        <v>0</v>
      </c>
      <c r="AL25" s="459">
        <f t="shared" si="49"/>
        <v>0</v>
      </c>
      <c r="AM25" s="459">
        <f t="shared" si="49"/>
        <v>0</v>
      </c>
      <c r="AN25" s="459">
        <f t="shared" si="49"/>
        <v>0</v>
      </c>
      <c r="AO25" s="460">
        <f>SUM(AJ25:AN25)</f>
        <v>0</v>
      </c>
      <c r="AP25" s="114"/>
      <c r="AQ25" s="461">
        <f>D25*$AY$3/5/M25</f>
        <v>0.22855713928482124</v>
      </c>
      <c r="AR25" s="461">
        <f>F25*$AY$9/5/M25</f>
        <v>0.21805451362840711</v>
      </c>
      <c r="AS25" s="461">
        <f>H25*$AY$14/5/M25</f>
        <v>0.18229557389347339</v>
      </c>
      <c r="AT25" s="461">
        <f>J25*$AY$15/5/M25</f>
        <v>0.10102525631407855</v>
      </c>
      <c r="AU25" s="461">
        <f>L25*$AY$16/5/M25</f>
        <v>0.27006751687921987</v>
      </c>
      <c r="AV25" s="462">
        <f>SUM(AQ25:AU25)</f>
        <v>1.0000000000000002</v>
      </c>
      <c r="AW25" s="150"/>
      <c r="AX25" s="451" t="s">
        <v>18</v>
      </c>
      <c r="AY25" s="449">
        <f>SUM(N35:N42)</f>
        <v>0</v>
      </c>
      <c r="AZ25" s="450" t="e">
        <f>AY25/Viherkerroin!$B$7</f>
        <v>#DIV/0!</v>
      </c>
      <c r="BA25" s="449">
        <f>SUM(BF35:BF42)</f>
        <v>0</v>
      </c>
      <c r="BB25" s="163">
        <f>COUNT(N35:N42)</f>
        <v>8</v>
      </c>
      <c r="BC25" s="450" t="e">
        <f t="shared" si="36"/>
        <v>#DIV/0!</v>
      </c>
      <c r="BD25" s="450" t="e">
        <f>AY25/Viherkerroin!$B$9</f>
        <v>#DIV/0!</v>
      </c>
      <c r="BE25" s="74"/>
      <c r="BF25" s="104">
        <f t="shared" si="50"/>
        <v>0</v>
      </c>
      <c r="BG25" s="74"/>
      <c r="BH25" s="74"/>
      <c r="BI25" s="74"/>
    </row>
    <row r="26" spans="1:61" ht="32" customHeight="1">
      <c r="A26" s="898" t="s">
        <v>11</v>
      </c>
      <c r="B26" s="530" t="s">
        <v>190</v>
      </c>
      <c r="C26" s="483" t="s">
        <v>303</v>
      </c>
      <c r="D26" s="531">
        <v>0.2</v>
      </c>
      <c r="E26" s="532" t="s">
        <v>302</v>
      </c>
      <c r="F26" s="531">
        <v>1</v>
      </c>
      <c r="G26" s="533" t="s">
        <v>225</v>
      </c>
      <c r="H26" s="534">
        <v>1</v>
      </c>
      <c r="I26" s="532" t="s">
        <v>105</v>
      </c>
      <c r="J26" s="534">
        <v>2</v>
      </c>
      <c r="K26" s="565" t="s">
        <v>226</v>
      </c>
      <c r="L26" s="542">
        <v>2</v>
      </c>
      <c r="M26" s="545">
        <f t="shared" si="23"/>
        <v>1.3155555555555556</v>
      </c>
      <c r="N26" s="545">
        <f>Viherkerroin!L27</f>
        <v>0</v>
      </c>
      <c r="O26" s="149">
        <f>(D28*$AY$3+F28*$AY$9+H28*$AY$14+J28*$AY$15+L28*$AY$16)/($AY$3+$AY$9+$AY$14+$AY$15+$AY$16)</f>
        <v>2.3586572438162547</v>
      </c>
      <c r="P26" s="115"/>
      <c r="V26" s="144"/>
      <c r="W26" s="144"/>
      <c r="AJ26" s="459">
        <f>IF($N26&gt;0,AQ26,0)</f>
        <v>0</v>
      </c>
      <c r="AK26" s="459">
        <f>IF($N26&gt;0,AR26,0)</f>
        <v>0</v>
      </c>
      <c r="AL26" s="459">
        <f>IF($N26&gt;0,AS26,0)</f>
        <v>0</v>
      </c>
      <c r="AM26" s="459">
        <f>IF($N26&gt;0,AT26,0)</f>
        <v>0</v>
      </c>
      <c r="AN26" s="459">
        <f>IF($N26&gt;0,AU26,0)</f>
        <v>0</v>
      </c>
      <c r="AO26" s="460">
        <f>SUM(AJ26:AN26)</f>
        <v>0</v>
      </c>
      <c r="AP26" s="114"/>
      <c r="AQ26" s="461">
        <f>D26*$AY$3/5/M26</f>
        <v>4.8247466216216214E-2</v>
      </c>
      <c r="AR26" s="461">
        <f>F26*$AY$9/5/M26</f>
        <v>0.23015202702702697</v>
      </c>
      <c r="AS26" s="461">
        <f>H26*$AY$14/5/M26</f>
        <v>0.12827280405405406</v>
      </c>
      <c r="AT26" s="461">
        <f>J26*$AY$15/5/M26</f>
        <v>0.21326013513513514</v>
      </c>
      <c r="AU26" s="461">
        <f>L26*$AY$16/5/M26</f>
        <v>0.38006756756756754</v>
      </c>
      <c r="AV26" s="462">
        <f>SUM(AQ26:AU26)</f>
        <v>1</v>
      </c>
      <c r="AW26" s="150"/>
      <c r="AX26" s="74"/>
      <c r="AY26" s="74"/>
      <c r="AZ26" s="452" t="e">
        <f>SUM(AZ20:AZ25)</f>
        <v>#DIV/0!</v>
      </c>
      <c r="BA26" s="453">
        <f>SUM(BA20:BA25)</f>
        <v>0</v>
      </c>
      <c r="BB26" s="92">
        <f>SUM(BB20:BB25)</f>
        <v>42</v>
      </c>
      <c r="BC26" s="452" t="e">
        <f>SUM(BC20:BC25)</f>
        <v>#DIV/0!</v>
      </c>
      <c r="BD26" s="452" t="e">
        <f>SUM(BD20:BD25)</f>
        <v>#DIV/0!</v>
      </c>
      <c r="BE26" s="74"/>
      <c r="BF26" s="104">
        <f t="shared" ref="BF26:BF31" si="51">IF(AND(N26&gt;0,N26&lt;&gt;"-"),1,0)</f>
        <v>0</v>
      </c>
      <c r="BG26" s="74"/>
      <c r="BH26" s="74"/>
      <c r="BI26" s="74"/>
    </row>
    <row r="27" spans="1:61" ht="32" customHeight="1" thickBot="1">
      <c r="A27" s="899"/>
      <c r="B27" s="514" t="s">
        <v>279</v>
      </c>
      <c r="C27" s="515" t="s">
        <v>301</v>
      </c>
      <c r="D27" s="520">
        <v>0.2</v>
      </c>
      <c r="E27" s="482" t="s">
        <v>302</v>
      </c>
      <c r="F27" s="520">
        <v>1</v>
      </c>
      <c r="G27" s="516" t="s">
        <v>39</v>
      </c>
      <c r="H27" s="524">
        <v>1</v>
      </c>
      <c r="I27" s="482" t="s">
        <v>104</v>
      </c>
      <c r="J27" s="524">
        <v>1</v>
      </c>
      <c r="K27" s="566" t="s">
        <v>201</v>
      </c>
      <c r="L27" s="544">
        <v>1</v>
      </c>
      <c r="M27" s="547">
        <f t="shared" si="23"/>
        <v>0.92527777777777764</v>
      </c>
      <c r="N27" s="547">
        <f>Viherkerroin!L28</f>
        <v>0</v>
      </c>
      <c r="O27" s="149">
        <f>(D26*$AY$3+F26*$AY$9+H26*$AY$14+J26*$AY$15+L26*$AY$16)/($AY$3+$AY$9+$AY$14+$AY$15+$AY$16)</f>
        <v>1.1156654888103652</v>
      </c>
      <c r="P27" s="115"/>
      <c r="V27" s="144"/>
      <c r="W27" s="144"/>
      <c r="AJ27" s="459">
        <f t="shared" si="37"/>
        <v>0</v>
      </c>
      <c r="AK27" s="459">
        <f t="shared" si="38"/>
        <v>0</v>
      </c>
      <c r="AL27" s="459">
        <f t="shared" si="39"/>
        <v>0</v>
      </c>
      <c r="AM27" s="459">
        <f t="shared" si="40"/>
        <v>0</v>
      </c>
      <c r="AN27" s="459">
        <f t="shared" si="41"/>
        <v>0</v>
      </c>
      <c r="AO27" s="460">
        <f t="shared" si="42"/>
        <v>0</v>
      </c>
      <c r="AP27" s="114"/>
      <c r="AQ27" s="461">
        <f t="shared" si="43"/>
        <v>6.8598018613029124E-2</v>
      </c>
      <c r="AR27" s="461">
        <f t="shared" si="44"/>
        <v>0.32722906034223953</v>
      </c>
      <c r="AS27" s="461">
        <f t="shared" si="45"/>
        <v>0.18237766436505556</v>
      </c>
      <c r="AT27" s="461">
        <f t="shared" si="46"/>
        <v>0.15160612428700093</v>
      </c>
      <c r="AU27" s="461">
        <f t="shared" si="47"/>
        <v>0.27018913239267489</v>
      </c>
      <c r="AV27" s="462">
        <f t="shared" si="48"/>
        <v>1</v>
      </c>
      <c r="AW27" s="150"/>
      <c r="AX27" s="447" t="s">
        <v>107</v>
      </c>
      <c r="AY27" s="81" t="s">
        <v>4</v>
      </c>
      <c r="AZ27" s="81" t="s">
        <v>5</v>
      </c>
      <c r="BA27" s="81" t="s">
        <v>12</v>
      </c>
      <c r="BB27" s="81" t="s">
        <v>6</v>
      </c>
      <c r="BC27" s="81" t="s">
        <v>176</v>
      </c>
      <c r="BD27" s="81" t="s">
        <v>16</v>
      </c>
      <c r="BE27" s="74"/>
      <c r="BF27" s="104">
        <f t="shared" si="51"/>
        <v>0</v>
      </c>
      <c r="BG27" s="74"/>
      <c r="BH27" s="74"/>
      <c r="BI27" s="74"/>
    </row>
    <row r="28" spans="1:61" ht="32" customHeight="1">
      <c r="A28" s="900" t="s">
        <v>8</v>
      </c>
      <c r="B28" s="504" t="s">
        <v>559</v>
      </c>
      <c r="C28" s="483" t="s">
        <v>304</v>
      </c>
      <c r="D28" s="531">
        <v>2.5</v>
      </c>
      <c r="E28" s="532" t="s">
        <v>41</v>
      </c>
      <c r="F28" s="531">
        <v>2</v>
      </c>
      <c r="G28" s="533" t="s">
        <v>43</v>
      </c>
      <c r="H28" s="534">
        <v>2.5</v>
      </c>
      <c r="I28" s="532" t="s">
        <v>106</v>
      </c>
      <c r="J28" s="534">
        <v>1.5</v>
      </c>
      <c r="K28" s="532" t="s">
        <v>305</v>
      </c>
      <c r="L28" s="561">
        <v>3</v>
      </c>
      <c r="M28" s="545">
        <f t="shared" si="23"/>
        <v>2.78125</v>
      </c>
      <c r="N28" s="545">
        <f>Viherkerroin!L30</f>
        <v>0</v>
      </c>
      <c r="O28" s="149">
        <f>(D23*$AY$3+F23*$AY$9+H23*$AY$14+J23*$AY$15+L23*$AY$16)/($AY$3+$AY$9+$AY$14+$AY$15+$AY$16)</f>
        <v>1.7240871613663136</v>
      </c>
      <c r="P28" s="115"/>
      <c r="V28" s="144"/>
      <c r="W28" s="144"/>
      <c r="AJ28" s="459">
        <f t="shared" si="37"/>
        <v>0</v>
      </c>
      <c r="AK28" s="459">
        <f t="shared" si="38"/>
        <v>0</v>
      </c>
      <c r="AL28" s="459">
        <f t="shared" si="39"/>
        <v>0</v>
      </c>
      <c r="AM28" s="459">
        <f t="shared" si="40"/>
        <v>0</v>
      </c>
      <c r="AN28" s="459">
        <f t="shared" si="41"/>
        <v>0</v>
      </c>
      <c r="AO28" s="460">
        <f t="shared" si="42"/>
        <v>0</v>
      </c>
      <c r="AP28" s="114"/>
      <c r="AQ28" s="461">
        <f t="shared" si="43"/>
        <v>0.2852684144818976</v>
      </c>
      <c r="AR28" s="461">
        <f t="shared" si="44"/>
        <v>0.21772784019975025</v>
      </c>
      <c r="AS28" s="461">
        <f t="shared" si="45"/>
        <v>0.15168539325842698</v>
      </c>
      <c r="AT28" s="461">
        <f t="shared" si="46"/>
        <v>7.5655430711610475E-2</v>
      </c>
      <c r="AU28" s="461">
        <f t="shared" si="47"/>
        <v>0.2696629213483146</v>
      </c>
      <c r="AV28" s="462">
        <f t="shared" si="48"/>
        <v>1</v>
      </c>
      <c r="AW28" s="150"/>
      <c r="AX28" s="448" t="s">
        <v>9</v>
      </c>
      <c r="AY28" s="454" t="e">
        <f>SUM(AJ2:AJ9)/SUM($AO2:$AO9)</f>
        <v>#DIV/0!</v>
      </c>
      <c r="AZ28" s="454" t="e">
        <f>SUM(AK2:AK9)/SUM($AO2:$AO9)</f>
        <v>#DIV/0!</v>
      </c>
      <c r="BA28" s="454" t="e">
        <f>SUM(AL2:AL9)/SUM($AO2:$AO9)</f>
        <v>#DIV/0!</v>
      </c>
      <c r="BB28" s="454" t="e">
        <f>SUM(AM2:AM9)/SUM($AO2:$AO9)</f>
        <v>#DIV/0!</v>
      </c>
      <c r="BC28" s="454" t="e">
        <f>SUM(AN2:AN9)/SUM($AO2:$AO9)</f>
        <v>#DIV/0!</v>
      </c>
      <c r="BD28" s="454" t="e">
        <f>SUM(AY28:BC28)</f>
        <v>#DIV/0!</v>
      </c>
      <c r="BE28" s="74"/>
      <c r="BF28" s="104">
        <f t="shared" si="51"/>
        <v>0</v>
      </c>
      <c r="BG28" s="258"/>
      <c r="BH28" s="258"/>
      <c r="BI28" s="74"/>
    </row>
    <row r="29" spans="1:61" ht="54" customHeight="1">
      <c r="A29" s="901"/>
      <c r="B29" s="508" t="s">
        <v>565</v>
      </c>
      <c r="C29" s="529" t="s">
        <v>202</v>
      </c>
      <c r="D29" s="518">
        <v>2.2000000000000002</v>
      </c>
      <c r="E29" s="563" t="s">
        <v>352</v>
      </c>
      <c r="F29" s="518">
        <v>1.5</v>
      </c>
      <c r="G29" s="562" t="s">
        <v>44</v>
      </c>
      <c r="H29" s="522">
        <v>1</v>
      </c>
      <c r="I29" s="563" t="s">
        <v>108</v>
      </c>
      <c r="J29" s="522">
        <v>1</v>
      </c>
      <c r="K29" s="563" t="s">
        <v>203</v>
      </c>
      <c r="L29" s="526">
        <v>3</v>
      </c>
      <c r="M29" s="578">
        <f t="shared" si="23"/>
        <v>2.2113888888888886</v>
      </c>
      <c r="N29" s="578">
        <f>Viherkerroin!L31</f>
        <v>0</v>
      </c>
      <c r="O29" s="149">
        <f>(D30*$AY$3+F30*$AY$9+H30*$AY$14+J30*$AY$15+L30*$AY$16)/($AY$3+$AY$9+$AY$14+$AY$15+$AY$16)</f>
        <v>1.3059481743227328</v>
      </c>
      <c r="P29" s="115"/>
      <c r="V29" s="144"/>
      <c r="W29" s="144"/>
      <c r="AJ29" s="459">
        <f t="shared" ref="AJ29:AN31" si="52">IF($N29&gt;0,AQ29,0)</f>
        <v>0</v>
      </c>
      <c r="AK29" s="459">
        <f t="shared" si="52"/>
        <v>0</v>
      </c>
      <c r="AL29" s="459">
        <f t="shared" si="52"/>
        <v>0</v>
      </c>
      <c r="AM29" s="459">
        <f t="shared" si="52"/>
        <v>0</v>
      </c>
      <c r="AN29" s="459">
        <f t="shared" si="52"/>
        <v>0</v>
      </c>
      <c r="AO29" s="460">
        <f t="shared" ref="AO29:AO31" si="53">SUM(AJ29:AN29)</f>
        <v>0</v>
      </c>
      <c r="AP29" s="114"/>
      <c r="AQ29" s="461">
        <f t="shared" ref="AQ29:AQ31" si="54">D29*$AY$3/5/M29</f>
        <v>0.31572666750408246</v>
      </c>
      <c r="AR29" s="461">
        <f t="shared" ref="AR29:AR31" si="55">F29*$AY$9/5/M29</f>
        <v>0.20537620901896747</v>
      </c>
      <c r="AS29" s="461">
        <f t="shared" ref="AS29:AS31" si="56">H29*$AY$14/5/M29</f>
        <v>7.6309508855671407E-2</v>
      </c>
      <c r="AT29" s="461">
        <f t="shared" ref="AT29:AT31" si="57">J29*$AY$15/5/M29</f>
        <v>6.343424192940586E-2</v>
      </c>
      <c r="AU29" s="461">
        <f t="shared" ref="AU29:AU31" si="58">L29*$AY$16/5/M29</f>
        <v>0.3391533726918729</v>
      </c>
      <c r="AV29" s="462">
        <f t="shared" ref="AV29:AV31" si="59">SUM(AQ29:AU29)</f>
        <v>1</v>
      </c>
      <c r="AW29" s="150"/>
      <c r="AX29" s="451" t="s">
        <v>10</v>
      </c>
      <c r="AY29" s="454" t="e">
        <f>SUM(AJ10:AJ21)/SUM($AO10:$AO21)</f>
        <v>#DIV/0!</v>
      </c>
      <c r="AZ29" s="454" t="e">
        <f>SUM(AK10:AK21)/SUM($AO10:$AO21)</f>
        <v>#DIV/0!</v>
      </c>
      <c r="BA29" s="454" t="e">
        <f>SUM(AL10:AL21)/SUM($AO10:$AO21)</f>
        <v>#DIV/0!</v>
      </c>
      <c r="BB29" s="454" t="e">
        <f>SUM(AM10:AM21)/SUM($AO10:$AO21)</f>
        <v>#DIV/0!</v>
      </c>
      <c r="BC29" s="454" t="e">
        <f>SUM(AN10:AN21)/SUM($AO10:$AO21)</f>
        <v>#DIV/0!</v>
      </c>
      <c r="BD29" s="454" t="e">
        <f t="shared" ref="BD29" si="60">SUM(AY29:BC29)</f>
        <v>#DIV/0!</v>
      </c>
      <c r="BE29" s="74"/>
      <c r="BF29" s="104">
        <f t="shared" si="51"/>
        <v>0</v>
      </c>
      <c r="BG29" s="113"/>
      <c r="BH29" s="113"/>
      <c r="BI29" s="74"/>
    </row>
    <row r="30" spans="1:61" ht="32" customHeight="1">
      <c r="A30" s="901"/>
      <c r="B30" s="508" t="s">
        <v>560</v>
      </c>
      <c r="C30" s="512" t="s">
        <v>306</v>
      </c>
      <c r="D30" s="519">
        <v>1</v>
      </c>
      <c r="E30" s="479" t="s">
        <v>607</v>
      </c>
      <c r="F30" s="519">
        <v>1</v>
      </c>
      <c r="G30" s="513" t="s">
        <v>44</v>
      </c>
      <c r="H30" s="523">
        <v>0.5</v>
      </c>
      <c r="I30" s="479" t="s">
        <v>611</v>
      </c>
      <c r="J30" s="523">
        <v>1.5</v>
      </c>
      <c r="K30" s="479" t="s">
        <v>205</v>
      </c>
      <c r="L30" s="527">
        <v>2.5</v>
      </c>
      <c r="M30" s="546">
        <f>(D30*$AY$3+F30*$AY$9+H30*$AY$14+J30*$AY$15+L30*$AY$16)/5</f>
        <v>1.5399305555555554</v>
      </c>
      <c r="N30" s="546">
        <f>Viherkerroin!L32</f>
        <v>0</v>
      </c>
      <c r="O30" s="149">
        <f>(D31*$AY$3+F31*$AY$9+H31*$AY$14+J31*$AY$15+L31*$AY$16)/($AY$3+$AY$9+$AY$14+$AY$15+$AY$16)</f>
        <v>2.4095995288574796</v>
      </c>
      <c r="P30" s="115"/>
      <c r="V30" s="144"/>
      <c r="W30" s="144"/>
      <c r="AJ30" s="459">
        <f t="shared" si="52"/>
        <v>0</v>
      </c>
      <c r="AK30" s="459">
        <f t="shared" si="52"/>
        <v>0</v>
      </c>
      <c r="AL30" s="459">
        <f t="shared" si="52"/>
        <v>0</v>
      </c>
      <c r="AM30" s="459">
        <f t="shared" si="52"/>
        <v>0</v>
      </c>
      <c r="AN30" s="459">
        <f t="shared" si="52"/>
        <v>0</v>
      </c>
      <c r="AO30" s="460">
        <f t="shared" si="53"/>
        <v>0</v>
      </c>
      <c r="AP30" s="114"/>
      <c r="AQ30" s="461">
        <f t="shared" si="54"/>
        <v>0.20608793686583993</v>
      </c>
      <c r="AR30" s="461">
        <f t="shared" si="55"/>
        <v>0.19661781285231114</v>
      </c>
      <c r="AS30" s="461">
        <f t="shared" si="56"/>
        <v>5.47914317925592E-2</v>
      </c>
      <c r="AT30" s="461">
        <f t="shared" si="57"/>
        <v>0.13664036076662908</v>
      </c>
      <c r="AU30" s="461">
        <f t="shared" si="58"/>
        <v>0.40586245772266072</v>
      </c>
      <c r="AV30" s="462">
        <f t="shared" si="59"/>
        <v>1</v>
      </c>
      <c r="AW30" s="150"/>
      <c r="AX30" s="451" t="s">
        <v>275</v>
      </c>
      <c r="AY30" s="454" t="e">
        <f>SUM(AJ22:AJ25)/SUM($AO22:$AO25)</f>
        <v>#DIV/0!</v>
      </c>
      <c r="AZ30" s="454" t="e">
        <f>SUM(AK22:AK25)/SUM($AO22:$AO25)</f>
        <v>#DIV/0!</v>
      </c>
      <c r="BA30" s="454" t="e">
        <f>SUM(AL22:AL25)/SUM($AO22:$AO25)</f>
        <v>#DIV/0!</v>
      </c>
      <c r="BB30" s="454" t="e">
        <f>SUM(AM22:AM25)/SUM($AO22:$AO25)</f>
        <v>#DIV/0!</v>
      </c>
      <c r="BC30" s="454" t="e">
        <f>SUM(AN22:AN25)/SUM($AO22:$AO25)</f>
        <v>#DIV/0!</v>
      </c>
      <c r="BD30" s="454" t="e">
        <f>SUM(AY30:BC30)</f>
        <v>#DIV/0!</v>
      </c>
      <c r="BE30" s="74"/>
      <c r="BF30" s="104">
        <f t="shared" si="51"/>
        <v>0</v>
      </c>
      <c r="BG30" s="74"/>
      <c r="BH30" s="74"/>
      <c r="BI30" s="74"/>
    </row>
    <row r="31" spans="1:61" ht="32" customHeight="1">
      <c r="A31" s="901"/>
      <c r="B31" s="508" t="s">
        <v>189</v>
      </c>
      <c r="C31" s="512" t="s">
        <v>307</v>
      </c>
      <c r="D31" s="519">
        <v>3</v>
      </c>
      <c r="E31" s="479" t="s">
        <v>40</v>
      </c>
      <c r="F31" s="519">
        <v>2</v>
      </c>
      <c r="G31" s="513" t="s">
        <v>109</v>
      </c>
      <c r="H31" s="523">
        <v>1.5</v>
      </c>
      <c r="I31" s="479" t="s">
        <v>110</v>
      </c>
      <c r="J31" s="523">
        <v>2</v>
      </c>
      <c r="K31" s="479" t="s">
        <v>213</v>
      </c>
      <c r="L31" s="527">
        <v>3</v>
      </c>
      <c r="M31" s="546">
        <f t="shared" si="23"/>
        <v>2.8413194444444443</v>
      </c>
      <c r="N31" s="546">
        <f>Viherkerroin!L33</f>
        <v>0</v>
      </c>
      <c r="O31" s="149" t="e">
        <f>(#REF!*$AY$3+#REF!*$AY$9+#REF!*$AY$14+#REF!*$AY$15+#REF!*$AY$16)/($AY$3+$AY$9+$AY$14+$AY$15+$AY$16)</f>
        <v>#REF!</v>
      </c>
      <c r="P31" s="115"/>
      <c r="V31" s="144"/>
      <c r="W31" s="144"/>
      <c r="AJ31" s="459">
        <f t="shared" si="52"/>
        <v>0</v>
      </c>
      <c r="AK31" s="459">
        <f t="shared" si="52"/>
        <v>0</v>
      </c>
      <c r="AL31" s="459">
        <f t="shared" si="52"/>
        <v>0</v>
      </c>
      <c r="AM31" s="459">
        <f t="shared" si="52"/>
        <v>0</v>
      </c>
      <c r="AN31" s="459">
        <f t="shared" si="52"/>
        <v>0</v>
      </c>
      <c r="AO31" s="460">
        <f t="shared" si="53"/>
        <v>0</v>
      </c>
      <c r="AP31" s="114"/>
      <c r="AQ31" s="461">
        <f t="shared" si="54"/>
        <v>0.33508493217646335</v>
      </c>
      <c r="AR31" s="461">
        <f t="shared" si="55"/>
        <v>0.21312477086643036</v>
      </c>
      <c r="AS31" s="461">
        <f t="shared" si="56"/>
        <v>8.9087131858731516E-2</v>
      </c>
      <c r="AT31" s="461">
        <f t="shared" si="57"/>
        <v>9.8741292924355378E-2</v>
      </c>
      <c r="AU31" s="461">
        <f t="shared" si="58"/>
        <v>0.26396187217401934</v>
      </c>
      <c r="AV31" s="462">
        <f t="shared" si="59"/>
        <v>1</v>
      </c>
      <c r="AW31" s="150"/>
      <c r="AX31" s="451" t="s">
        <v>11</v>
      </c>
      <c r="AY31" s="454" t="e">
        <f>SUM(AJ26:AJ27)/SUM($AO26:$AO27)</f>
        <v>#DIV/0!</v>
      </c>
      <c r="AZ31" s="454" t="e">
        <f>SUM(AK26:AK27)/SUM($AO26:$AO27)</f>
        <v>#DIV/0!</v>
      </c>
      <c r="BA31" s="454" t="e">
        <f>SUM(AL26:AL27)/SUM($AO26:$AO27)</f>
        <v>#DIV/0!</v>
      </c>
      <c r="BB31" s="454" t="e">
        <f>SUM(AM26:AM27)/SUM($AO26:$AO27)</f>
        <v>#DIV/0!</v>
      </c>
      <c r="BC31" s="454" t="e">
        <f>SUM(AN26:AN27)/SUM($AO26:$AO27)</f>
        <v>#DIV/0!</v>
      </c>
      <c r="BD31" s="454" t="e">
        <f>SUM(AY31:BC31)</f>
        <v>#DIV/0!</v>
      </c>
      <c r="BE31" s="455"/>
      <c r="BF31" s="104">
        <f t="shared" si="51"/>
        <v>0</v>
      </c>
      <c r="BG31" s="74"/>
      <c r="BH31" s="74"/>
      <c r="BI31" s="74"/>
    </row>
    <row r="32" spans="1:61" ht="32" customHeight="1">
      <c r="A32" s="901"/>
      <c r="B32" s="508" t="s">
        <v>214</v>
      </c>
      <c r="C32" s="529" t="s">
        <v>256</v>
      </c>
      <c r="D32" s="518">
        <v>2</v>
      </c>
      <c r="E32" s="479" t="s">
        <v>206</v>
      </c>
      <c r="F32" s="522">
        <v>2</v>
      </c>
      <c r="G32" s="562" t="s">
        <v>326</v>
      </c>
      <c r="H32" s="522">
        <v>1.5</v>
      </c>
      <c r="I32" s="563" t="s">
        <v>111</v>
      </c>
      <c r="J32" s="523">
        <v>1.2</v>
      </c>
      <c r="K32" s="479" t="s">
        <v>215</v>
      </c>
      <c r="L32" s="527">
        <v>3</v>
      </c>
      <c r="M32" s="546">
        <f t="shared" ref="M32:M42" si="61">(D32*$AY$3+F32*$AY$9+H32*$AY$14+J32*$AY$15+L32*$AY$16)/5</f>
        <v>2.4117361111111109</v>
      </c>
      <c r="N32" s="546">
        <f>Viherkerroin!L34</f>
        <v>0</v>
      </c>
      <c r="O32" s="149">
        <f>(D34*$AY$3+F34*$AY$9+H34*$AY$14+J34*$AY$15+L34*$AY$16)/($AY$3+$AY$9+$AY$14+$AY$15+$AY$16)</f>
        <v>1.1569493521790342</v>
      </c>
      <c r="V32" s="144"/>
      <c r="W32" s="144"/>
      <c r="AJ32" s="459">
        <f t="shared" ref="AJ32:AJ42" si="62">IF($N32&gt;0,AQ32,0)</f>
        <v>0</v>
      </c>
      <c r="AK32" s="459">
        <f t="shared" ref="AK32:AK42" si="63">IF($N32&gt;0,AR32,0)</f>
        <v>0</v>
      </c>
      <c r="AL32" s="459">
        <f t="shared" ref="AL32:AL42" si="64">IF($N32&gt;0,AS32,0)</f>
        <v>0</v>
      </c>
      <c r="AM32" s="459">
        <f t="shared" ref="AM32:AM42" si="65">IF($N32&gt;0,AT32,0)</f>
        <v>0</v>
      </c>
      <c r="AN32" s="459">
        <f t="shared" ref="AN32:AN42" si="66">IF($N32&gt;0,AU32,0)</f>
        <v>0</v>
      </c>
      <c r="AO32" s="460">
        <f t="shared" ref="AO32:AO40" si="67">SUM(AJ32:AN32)</f>
        <v>0</v>
      </c>
      <c r="AP32" s="114"/>
      <c r="AQ32" s="461">
        <f t="shared" ref="AQ32:AQ42" si="68">D32*$AY$3/5/M32</f>
        <v>0.26318062714158197</v>
      </c>
      <c r="AR32" s="461">
        <f t="shared" ref="AR32:AR42" si="69">F32*$AY$9/5/M32</f>
        <v>0.25108698781997751</v>
      </c>
      <c r="AS32" s="461">
        <f t="shared" ref="AS32:AS42" si="70">H32*$AY$14/5/M32</f>
        <v>0.1049555126839241</v>
      </c>
      <c r="AT32" s="461">
        <f t="shared" ref="AT32:AT42" si="71">J32*$AY$15/5/M32</f>
        <v>6.979757551325981E-2</v>
      </c>
      <c r="AU32" s="461">
        <f t="shared" ref="AU32:AU42" si="72">L32*$AY$16/5/M32</f>
        <v>0.31097929684125664</v>
      </c>
      <c r="AV32" s="462">
        <f t="shared" ref="AV32:AV42" si="73">SUM(AQ32:AU32)</f>
        <v>1</v>
      </c>
      <c r="AW32" s="150"/>
      <c r="AX32" s="451" t="s">
        <v>8</v>
      </c>
      <c r="AY32" s="454">
        <f>SUM(AJ28:AJ34)/SUM($AO28:$AO34)</f>
        <v>0.34894375159073554</v>
      </c>
      <c r="AZ32" s="454">
        <f>SUM(AK28:AK34)/SUM($AO28:$AO34)</f>
        <v>0.22193942479002288</v>
      </c>
      <c r="BA32" s="454">
        <f>SUM(AL28:AL34)/SUM($AO28:$AO34)</f>
        <v>0</v>
      </c>
      <c r="BB32" s="454">
        <f>SUM(AM28:AM34)/SUM($AO28:$AO34)</f>
        <v>0.15423771952150675</v>
      </c>
      <c r="BC32" s="454">
        <f>SUM(AN28:AN34)/SUM($AO28:$AO34)</f>
        <v>0.27487910409773481</v>
      </c>
      <c r="BD32" s="454">
        <f>SUM(AY32:BC32)</f>
        <v>1</v>
      </c>
      <c r="BE32" s="455"/>
      <c r="BF32" s="104">
        <f t="shared" ref="BF32:BF40" si="74">IF(AND(N32&gt;0,N32&lt;&gt;"-"),1,0)</f>
        <v>0</v>
      </c>
      <c r="BG32" s="74"/>
      <c r="BH32" s="74"/>
      <c r="BI32" s="74"/>
    </row>
    <row r="33" spans="1:77" ht="32" customHeight="1">
      <c r="A33" s="901"/>
      <c r="B33" s="508" t="s">
        <v>440</v>
      </c>
      <c r="C33" s="512" t="s">
        <v>309</v>
      </c>
      <c r="D33" s="519">
        <v>2</v>
      </c>
      <c r="E33" s="479" t="s">
        <v>310</v>
      </c>
      <c r="F33" s="519">
        <v>1.5</v>
      </c>
      <c r="G33" s="513" t="s">
        <v>311</v>
      </c>
      <c r="H33" s="523">
        <v>0</v>
      </c>
      <c r="I33" s="479" t="s">
        <v>312</v>
      </c>
      <c r="J33" s="523">
        <v>1</v>
      </c>
      <c r="K33" s="479" t="s">
        <v>313</v>
      </c>
      <c r="L33" s="527">
        <v>1.5</v>
      </c>
      <c r="M33" s="546">
        <f t="shared" si="61"/>
        <v>1.6041666666666665</v>
      </c>
      <c r="N33" s="546">
        <f>Viherkerroin!L35</f>
        <v>0</v>
      </c>
      <c r="O33" s="149">
        <f>(D35*$AY$3+F35*$AY$9+H35*$AY$14+J35*$AY$15+L35*$AY$16)/($AY$3+$AY$9+$AY$14+$AY$15+$AY$16)</f>
        <v>0.56301531213191991</v>
      </c>
      <c r="P33" s="115"/>
      <c r="V33" s="144"/>
      <c r="W33" s="144"/>
      <c r="AJ33" s="459">
        <f t="shared" si="62"/>
        <v>0</v>
      </c>
      <c r="AK33" s="459">
        <f t="shared" si="63"/>
        <v>0</v>
      </c>
      <c r="AL33" s="459">
        <f t="shared" si="64"/>
        <v>0</v>
      </c>
      <c r="AM33" s="459">
        <f t="shared" si="65"/>
        <v>0</v>
      </c>
      <c r="AN33" s="459">
        <f t="shared" si="66"/>
        <v>0</v>
      </c>
      <c r="AO33" s="460">
        <f t="shared" si="67"/>
        <v>0</v>
      </c>
      <c r="AP33" s="114"/>
      <c r="AQ33" s="461">
        <f t="shared" si="68"/>
        <v>0.39567099567099567</v>
      </c>
      <c r="AR33" s="461">
        <f t="shared" si="69"/>
        <v>0.2831168831168831</v>
      </c>
      <c r="AS33" s="461">
        <f t="shared" si="70"/>
        <v>0</v>
      </c>
      <c r="AT33" s="461">
        <f t="shared" si="71"/>
        <v>8.7445887445887452E-2</v>
      </c>
      <c r="AU33" s="461">
        <f t="shared" si="72"/>
        <v>0.23376623376623379</v>
      </c>
      <c r="AV33" s="462">
        <f t="shared" si="73"/>
        <v>1</v>
      </c>
      <c r="AW33" s="150"/>
      <c r="AX33" s="451" t="s">
        <v>18</v>
      </c>
      <c r="AY33" s="596" t="e">
        <f>SUM(AJ35:AJ42)/SUM($AO35:$AO42)</f>
        <v>#DIV/0!</v>
      </c>
      <c r="AZ33" s="454" t="e">
        <f>SUM(AK35:AK40)/SUM($AO35:$AO40)</f>
        <v>#DIV/0!</v>
      </c>
      <c r="BA33" s="454" t="e">
        <f>SUM(AL35:AL40)/SUM($AO35:$AO40)</f>
        <v>#DIV/0!</v>
      </c>
      <c r="BB33" s="454" t="e">
        <f>SUM(AM35:AM40)/SUM($AO35:$AO40)</f>
        <v>#DIV/0!</v>
      </c>
      <c r="BC33" s="454" t="e">
        <f>SUM(AN35:AN40)/SUM($AO35:$AO40)</f>
        <v>#DIV/0!</v>
      </c>
      <c r="BD33" s="454" t="e">
        <f>SUM(AY33:BC33)</f>
        <v>#DIV/0!</v>
      </c>
      <c r="BE33" s="455"/>
      <c r="BF33" s="104">
        <f t="shared" si="74"/>
        <v>0</v>
      </c>
      <c r="BG33" s="74"/>
      <c r="BH33" s="74"/>
      <c r="BI33" s="74"/>
    </row>
    <row r="34" spans="1:77" ht="32" customHeight="1" thickBot="1">
      <c r="A34" s="902"/>
      <c r="B34" s="589" t="s">
        <v>262</v>
      </c>
      <c r="C34" s="515" t="s">
        <v>204</v>
      </c>
      <c r="D34" s="520">
        <v>1.5</v>
      </c>
      <c r="E34" s="482" t="s">
        <v>45</v>
      </c>
      <c r="F34" s="524">
        <v>1</v>
      </c>
      <c r="G34" s="516" t="s">
        <v>46</v>
      </c>
      <c r="H34" s="524">
        <v>0</v>
      </c>
      <c r="I34" s="482" t="s">
        <v>111</v>
      </c>
      <c r="J34" s="524">
        <v>1.5</v>
      </c>
      <c r="K34" s="482" t="s">
        <v>308</v>
      </c>
      <c r="L34" s="528">
        <v>1.5</v>
      </c>
      <c r="M34" s="547">
        <f t="shared" si="61"/>
        <v>1.364236111111111</v>
      </c>
      <c r="N34" s="546" t="str">
        <f>Viherkerroin!L36</f>
        <v>-</v>
      </c>
      <c r="P34" s="115"/>
      <c r="AJ34" s="459">
        <f t="shared" si="62"/>
        <v>0.34894375159073554</v>
      </c>
      <c r="AK34" s="459">
        <f t="shared" si="63"/>
        <v>0.22193942479002288</v>
      </c>
      <c r="AL34" s="459">
        <f t="shared" si="64"/>
        <v>0</v>
      </c>
      <c r="AM34" s="459">
        <f t="shared" si="65"/>
        <v>0.15423771952150675</v>
      </c>
      <c r="AN34" s="459">
        <f t="shared" si="66"/>
        <v>0.27487910409773481</v>
      </c>
      <c r="AO34" s="460">
        <f t="shared" si="67"/>
        <v>1</v>
      </c>
      <c r="AP34" s="114"/>
      <c r="AQ34" s="461">
        <f t="shared" si="68"/>
        <v>0.34894375159073554</v>
      </c>
      <c r="AR34" s="461">
        <f t="shared" si="69"/>
        <v>0.22193942479002288</v>
      </c>
      <c r="AS34" s="461">
        <f t="shared" si="70"/>
        <v>0</v>
      </c>
      <c r="AT34" s="461">
        <f t="shared" si="71"/>
        <v>0.15423771952150675</v>
      </c>
      <c r="AU34" s="461">
        <f t="shared" si="72"/>
        <v>0.27487910409773481</v>
      </c>
      <c r="AV34" s="462">
        <f t="shared" si="73"/>
        <v>1</v>
      </c>
      <c r="AW34" s="150"/>
      <c r="AX34" s="451"/>
      <c r="AY34" s="456"/>
      <c r="AZ34" s="456"/>
      <c r="BA34" s="456"/>
      <c r="BB34" s="456"/>
      <c r="BC34" s="454"/>
      <c r="BD34" s="74"/>
      <c r="BE34" s="455"/>
      <c r="BF34" s="104">
        <f t="shared" si="74"/>
        <v>0</v>
      </c>
      <c r="BG34" s="74"/>
      <c r="BH34" s="74"/>
      <c r="BI34" s="74"/>
    </row>
    <row r="35" spans="1:77" ht="32" customHeight="1">
      <c r="A35" s="591" t="s">
        <v>51</v>
      </c>
      <c r="B35" s="548" t="s">
        <v>348</v>
      </c>
      <c r="C35" s="483" t="s">
        <v>314</v>
      </c>
      <c r="D35" s="531">
        <v>1</v>
      </c>
      <c r="E35" s="532" t="s">
        <v>47</v>
      </c>
      <c r="F35" s="534">
        <v>0.5</v>
      </c>
      <c r="G35" s="533" t="s">
        <v>46</v>
      </c>
      <c r="H35" s="534">
        <v>0</v>
      </c>
      <c r="I35" s="532" t="s">
        <v>112</v>
      </c>
      <c r="J35" s="534">
        <v>0.5</v>
      </c>
      <c r="K35" s="535" t="s">
        <v>315</v>
      </c>
      <c r="L35" s="542">
        <v>0.5</v>
      </c>
      <c r="M35" s="545">
        <f t="shared" si="61"/>
        <v>0.66388888888888875</v>
      </c>
      <c r="N35" s="539">
        <f>Viherkerroin!L37</f>
        <v>0</v>
      </c>
      <c r="O35" s="149">
        <f>(D32*$AY$3+F32*$AY$9+H32*$AY$14+J32*$AY$15+L32*$AY$16)/($AY$3+$AY$9+$AY$14+$AY$15+$AY$16)</f>
        <v>2.0452885747938754</v>
      </c>
      <c r="P35" s="115"/>
      <c r="V35" s="144"/>
      <c r="W35" s="144"/>
      <c r="AJ35" s="459">
        <f t="shared" si="62"/>
        <v>0</v>
      </c>
      <c r="AK35" s="459">
        <f t="shared" si="63"/>
        <v>0</v>
      </c>
      <c r="AL35" s="459">
        <f t="shared" si="64"/>
        <v>0</v>
      </c>
      <c r="AM35" s="459">
        <f t="shared" si="65"/>
        <v>0</v>
      </c>
      <c r="AN35" s="459">
        <f t="shared" si="66"/>
        <v>0</v>
      </c>
      <c r="AO35" s="460">
        <f t="shared" si="67"/>
        <v>0</v>
      </c>
      <c r="AP35" s="114"/>
      <c r="AQ35" s="461">
        <f t="shared" si="68"/>
        <v>0.47803347280334735</v>
      </c>
      <c r="AR35" s="461">
        <f t="shared" si="69"/>
        <v>0.22803347280334726</v>
      </c>
      <c r="AS35" s="461">
        <f t="shared" si="70"/>
        <v>0</v>
      </c>
      <c r="AT35" s="461">
        <f t="shared" si="71"/>
        <v>0.10564853556485358</v>
      </c>
      <c r="AU35" s="461">
        <f t="shared" si="72"/>
        <v>0.18828451882845193</v>
      </c>
      <c r="AV35" s="462">
        <f t="shared" si="73"/>
        <v>1</v>
      </c>
      <c r="AW35" s="150"/>
      <c r="AX35" s="74"/>
      <c r="AY35" s="74"/>
      <c r="AZ35" s="74"/>
      <c r="BA35" s="74"/>
      <c r="BB35" s="74"/>
      <c r="BC35" s="74"/>
      <c r="BD35" s="74"/>
      <c r="BE35" s="74"/>
      <c r="BF35" s="104">
        <f t="shared" si="74"/>
        <v>0</v>
      </c>
      <c r="BG35" s="74"/>
      <c r="BH35" s="74"/>
      <c r="BI35" s="74"/>
    </row>
    <row r="36" spans="1:77" s="155" customFormat="1" ht="32" customHeight="1">
      <c r="A36" s="592"/>
      <c r="B36" s="549" t="s">
        <v>349</v>
      </c>
      <c r="C36" s="512" t="s">
        <v>207</v>
      </c>
      <c r="D36" s="519">
        <v>1</v>
      </c>
      <c r="E36" s="479" t="s">
        <v>316</v>
      </c>
      <c r="F36" s="523">
        <v>0.5</v>
      </c>
      <c r="G36" s="513" t="s">
        <v>48</v>
      </c>
      <c r="H36" s="523">
        <v>1</v>
      </c>
      <c r="I36" s="479" t="s">
        <v>113</v>
      </c>
      <c r="J36" s="523">
        <v>0.5</v>
      </c>
      <c r="K36" s="536" t="s">
        <v>324</v>
      </c>
      <c r="L36" s="543">
        <v>0.5</v>
      </c>
      <c r="M36" s="546">
        <f t="shared" si="61"/>
        <v>0.83263888888888871</v>
      </c>
      <c r="N36" s="540">
        <f>Viherkerroin!L38</f>
        <v>0</v>
      </c>
      <c r="O36" s="149">
        <f>(D36*$AY$3+F36*$AY$9+H36*$AY$14+J36*$AY$15+L36*$AY$16)/($AY$3+$AY$9+$AY$14+$AY$15+$AY$16)</f>
        <v>0.70612485276796233</v>
      </c>
      <c r="P36" s="154"/>
      <c r="Q36" s="36"/>
      <c r="R36" s="36"/>
      <c r="S36" s="36"/>
      <c r="T36" s="36"/>
      <c r="U36" s="36"/>
      <c r="V36" s="144"/>
      <c r="W36" s="144"/>
      <c r="X36" s="36"/>
      <c r="Y36" s="36"/>
      <c r="Z36" s="20"/>
      <c r="AA36" s="20"/>
      <c r="AB36" s="20"/>
      <c r="AC36" s="20"/>
      <c r="AD36" s="20"/>
      <c r="AE36" s="20"/>
      <c r="AF36" s="20"/>
      <c r="AG36" s="20"/>
      <c r="AH36" s="20"/>
      <c r="AI36" s="20"/>
      <c r="AJ36" s="459">
        <f t="shared" si="62"/>
        <v>0</v>
      </c>
      <c r="AK36" s="459">
        <f t="shared" si="63"/>
        <v>0</v>
      </c>
      <c r="AL36" s="459">
        <f t="shared" si="64"/>
        <v>0</v>
      </c>
      <c r="AM36" s="459">
        <f t="shared" si="65"/>
        <v>0</v>
      </c>
      <c r="AN36" s="459">
        <f t="shared" si="66"/>
        <v>0</v>
      </c>
      <c r="AO36" s="460">
        <f t="shared" si="67"/>
        <v>0</v>
      </c>
      <c r="AP36" s="114"/>
      <c r="AQ36" s="461">
        <f t="shared" si="68"/>
        <v>0.38115095913261055</v>
      </c>
      <c r="AR36" s="461">
        <f t="shared" si="69"/>
        <v>0.18181818181818182</v>
      </c>
      <c r="AS36" s="461">
        <f t="shared" si="70"/>
        <v>0.20266889074228531</v>
      </c>
      <c r="AT36" s="461">
        <f t="shared" si="71"/>
        <v>8.4236864053377838E-2</v>
      </c>
      <c r="AU36" s="461">
        <f t="shared" si="72"/>
        <v>0.15012510425354467</v>
      </c>
      <c r="AV36" s="462">
        <f t="shared" si="73"/>
        <v>1.0000000000000002</v>
      </c>
      <c r="AW36" s="150"/>
      <c r="AX36" s="74"/>
      <c r="AY36" s="74"/>
      <c r="AZ36" s="74"/>
      <c r="BA36" s="74"/>
      <c r="BB36" s="74"/>
      <c r="BC36" s="74"/>
      <c r="BD36" s="74"/>
      <c r="BE36" s="74"/>
      <c r="BF36" s="104">
        <f t="shared" si="74"/>
        <v>0</v>
      </c>
      <c r="BG36" s="131"/>
      <c r="BH36" s="131"/>
      <c r="BI36" s="131"/>
    </row>
    <row r="37" spans="1:77" s="155" customFormat="1" ht="32" customHeight="1">
      <c r="A37" s="592"/>
      <c r="B37" s="511" t="s">
        <v>156</v>
      </c>
      <c r="C37" s="512" t="s">
        <v>211</v>
      </c>
      <c r="D37" s="519">
        <v>0.5</v>
      </c>
      <c r="E37" s="479" t="s">
        <v>317</v>
      </c>
      <c r="F37" s="523">
        <v>1</v>
      </c>
      <c r="G37" s="513" t="s">
        <v>318</v>
      </c>
      <c r="H37" s="523">
        <v>1</v>
      </c>
      <c r="I37" s="479" t="s">
        <v>37</v>
      </c>
      <c r="J37" s="523">
        <v>1</v>
      </c>
      <c r="K37" s="557" t="s">
        <v>208</v>
      </c>
      <c r="L37" s="543">
        <v>0.5</v>
      </c>
      <c r="M37" s="546">
        <f t="shared" si="61"/>
        <v>0.89548611111111109</v>
      </c>
      <c r="N37" s="540">
        <f>Viherkerroin!L39</f>
        <v>0</v>
      </c>
      <c r="O37" s="157" t="e">
        <f>(#REF!*$AY$3+#REF!*$AY$9+#REF!*$AY$14+#REF!*$AY$15+#REF!*$AY$16)/($AY$3+$AY$9+$AY$14+$AY$15+$AY$16)</f>
        <v>#REF!</v>
      </c>
      <c r="P37" s="154"/>
      <c r="V37" s="144"/>
      <c r="W37" s="144"/>
      <c r="AJ37" s="459">
        <f t="shared" si="62"/>
        <v>0</v>
      </c>
      <c r="AK37" s="459">
        <f t="shared" si="63"/>
        <v>0</v>
      </c>
      <c r="AL37" s="459">
        <f t="shared" si="64"/>
        <v>0</v>
      </c>
      <c r="AM37" s="459">
        <f t="shared" si="65"/>
        <v>0</v>
      </c>
      <c r="AN37" s="459">
        <f t="shared" si="66"/>
        <v>0</v>
      </c>
      <c r="AO37" s="460">
        <f t="shared" si="67"/>
        <v>0</v>
      </c>
      <c r="AP37" s="114"/>
      <c r="AQ37" s="461">
        <f t="shared" si="68"/>
        <v>0.17720046529662659</v>
      </c>
      <c r="AR37" s="461">
        <f t="shared" si="69"/>
        <v>0.33811554866227211</v>
      </c>
      <c r="AS37" s="461">
        <f t="shared" si="70"/>
        <v>0.18844513377278016</v>
      </c>
      <c r="AT37" s="461">
        <f t="shared" si="71"/>
        <v>0.1566498642884839</v>
      </c>
      <c r="AU37" s="461">
        <f t="shared" si="72"/>
        <v>0.13958898797983715</v>
      </c>
      <c r="AV37" s="462">
        <f t="shared" si="73"/>
        <v>1</v>
      </c>
      <c r="AW37" s="150"/>
      <c r="AX37" s="131"/>
      <c r="AY37" s="131"/>
      <c r="AZ37" s="131"/>
      <c r="BA37" s="131"/>
      <c r="BB37" s="131"/>
      <c r="BC37" s="131"/>
      <c r="BD37" s="131"/>
      <c r="BE37" s="131"/>
      <c r="BF37" s="104">
        <f t="shared" si="74"/>
        <v>0</v>
      </c>
      <c r="BG37" s="131"/>
      <c r="BH37" s="131"/>
      <c r="BI37" s="131"/>
    </row>
    <row r="38" spans="1:77" s="155" customFormat="1" ht="32" customHeight="1">
      <c r="A38" s="592"/>
      <c r="B38" s="511" t="s">
        <v>155</v>
      </c>
      <c r="C38" s="512" t="s">
        <v>211</v>
      </c>
      <c r="D38" s="519">
        <v>0.5</v>
      </c>
      <c r="E38" s="479" t="s">
        <v>317</v>
      </c>
      <c r="F38" s="523">
        <v>1</v>
      </c>
      <c r="G38" s="513" t="s">
        <v>318</v>
      </c>
      <c r="H38" s="523">
        <v>1</v>
      </c>
      <c r="I38" s="479" t="s">
        <v>37</v>
      </c>
      <c r="J38" s="523">
        <v>1</v>
      </c>
      <c r="K38" s="557" t="s">
        <v>209</v>
      </c>
      <c r="L38" s="543">
        <v>0.5</v>
      </c>
      <c r="M38" s="546">
        <f t="shared" si="61"/>
        <v>0.89548611111111109</v>
      </c>
      <c r="N38" s="540">
        <f>Viherkerroin!L40</f>
        <v>0</v>
      </c>
      <c r="O38" s="149">
        <f>(D38*$AY$3+F38*$AY$9+H38*$AY$14+J38*$AY$15+L38*$AY$16)/($AY$3+$AY$9+$AY$14+$AY$15+$AY$16)</f>
        <v>0.75942285041224977</v>
      </c>
      <c r="P38" s="115"/>
      <c r="Q38" s="36"/>
      <c r="R38" s="36"/>
      <c r="S38" s="36"/>
      <c r="T38" s="36"/>
      <c r="U38" s="36"/>
      <c r="V38" s="144"/>
      <c r="W38" s="144"/>
      <c r="X38" s="36"/>
      <c r="Y38" s="36"/>
      <c r="Z38" s="20"/>
      <c r="AA38" s="20"/>
      <c r="AB38" s="20"/>
      <c r="AC38" s="20"/>
      <c r="AD38" s="20"/>
      <c r="AE38" s="20"/>
      <c r="AF38" s="20"/>
      <c r="AG38" s="20"/>
      <c r="AH38" s="20"/>
      <c r="AI38" s="20"/>
      <c r="AJ38" s="459">
        <f t="shared" si="62"/>
        <v>0</v>
      </c>
      <c r="AK38" s="459">
        <f t="shared" si="63"/>
        <v>0</v>
      </c>
      <c r="AL38" s="459">
        <f t="shared" si="64"/>
        <v>0</v>
      </c>
      <c r="AM38" s="459">
        <f t="shared" si="65"/>
        <v>0</v>
      </c>
      <c r="AN38" s="459">
        <f t="shared" si="66"/>
        <v>0</v>
      </c>
      <c r="AO38" s="460">
        <f t="shared" si="67"/>
        <v>0</v>
      </c>
      <c r="AP38" s="114"/>
      <c r="AQ38" s="461">
        <f t="shared" si="68"/>
        <v>0.17720046529662659</v>
      </c>
      <c r="AR38" s="461">
        <f t="shared" si="69"/>
        <v>0.33811554866227211</v>
      </c>
      <c r="AS38" s="461">
        <f t="shared" si="70"/>
        <v>0.18844513377278016</v>
      </c>
      <c r="AT38" s="461">
        <f t="shared" si="71"/>
        <v>0.1566498642884839</v>
      </c>
      <c r="AU38" s="461">
        <f t="shared" si="72"/>
        <v>0.13958898797983715</v>
      </c>
      <c r="AV38" s="462">
        <f t="shared" si="73"/>
        <v>1</v>
      </c>
      <c r="AW38" s="150"/>
      <c r="AX38" s="131"/>
      <c r="AY38" s="131"/>
      <c r="AZ38" s="131"/>
      <c r="BA38" s="131"/>
      <c r="BB38" s="131"/>
      <c r="BC38" s="131"/>
      <c r="BD38" s="131"/>
      <c r="BE38" s="131"/>
      <c r="BF38" s="104">
        <f t="shared" si="74"/>
        <v>0</v>
      </c>
      <c r="BG38" s="131"/>
      <c r="BH38" s="131"/>
      <c r="BI38" s="131"/>
    </row>
    <row r="39" spans="1:77" ht="32" customHeight="1">
      <c r="A39" s="592"/>
      <c r="B39" s="511" t="s">
        <v>347</v>
      </c>
      <c r="C39" s="550" t="s">
        <v>179</v>
      </c>
      <c r="D39" s="519">
        <v>1</v>
      </c>
      <c r="E39" s="550" t="s">
        <v>114</v>
      </c>
      <c r="F39" s="519">
        <v>1</v>
      </c>
      <c r="G39" s="513" t="s">
        <v>180</v>
      </c>
      <c r="H39" s="523">
        <v>1</v>
      </c>
      <c r="I39" s="479" t="s">
        <v>181</v>
      </c>
      <c r="J39" s="523">
        <v>0.5</v>
      </c>
      <c r="K39" s="557" t="s">
        <v>210</v>
      </c>
      <c r="L39" s="543">
        <v>0.5</v>
      </c>
      <c r="M39" s="546">
        <f t="shared" si="61"/>
        <v>0.98402777777777772</v>
      </c>
      <c r="N39" s="540">
        <f>Viherkerroin!L41</f>
        <v>0</v>
      </c>
      <c r="O39" s="149">
        <f>(D39*$AY$3+F39*$AY$9+H39*$AY$14+J39*$AY$15+L39*$AY$16)/($AY$3+$AY$9+$AY$14+$AY$15+$AY$16)</f>
        <v>0.83451118963486459</v>
      </c>
      <c r="P39" s="154"/>
      <c r="V39" s="144"/>
      <c r="W39" s="144"/>
      <c r="AJ39" s="459">
        <f t="shared" si="62"/>
        <v>0</v>
      </c>
      <c r="AK39" s="459">
        <f t="shared" si="63"/>
        <v>0</v>
      </c>
      <c r="AL39" s="459">
        <f t="shared" si="64"/>
        <v>0</v>
      </c>
      <c r="AM39" s="459">
        <f t="shared" si="65"/>
        <v>0</v>
      </c>
      <c r="AN39" s="459">
        <f t="shared" si="66"/>
        <v>0</v>
      </c>
      <c r="AO39" s="460">
        <f t="shared" si="67"/>
        <v>0</v>
      </c>
      <c r="AP39" s="114"/>
      <c r="AQ39" s="461">
        <f t="shared" si="68"/>
        <v>0.32251235003528583</v>
      </c>
      <c r="AR39" s="461">
        <f t="shared" si="69"/>
        <v>0.30769230769230765</v>
      </c>
      <c r="AS39" s="461">
        <f t="shared" si="70"/>
        <v>0.17148906139731829</v>
      </c>
      <c r="AT39" s="461">
        <f t="shared" si="71"/>
        <v>7.1277346506704309E-2</v>
      </c>
      <c r="AU39" s="461">
        <f t="shared" si="72"/>
        <v>0.12702893436838392</v>
      </c>
      <c r="AV39" s="462">
        <f t="shared" si="73"/>
        <v>1</v>
      </c>
      <c r="AW39" s="159"/>
      <c r="AX39" s="131"/>
      <c r="AY39" s="131"/>
      <c r="AZ39" s="131"/>
      <c r="BA39" s="131"/>
      <c r="BB39" s="131"/>
      <c r="BC39" s="131"/>
      <c r="BD39" s="131"/>
      <c r="BE39" s="131"/>
      <c r="BF39" s="104">
        <f t="shared" si="74"/>
        <v>0</v>
      </c>
      <c r="BG39" s="74"/>
      <c r="BH39" s="74"/>
      <c r="BI39" s="74"/>
    </row>
    <row r="40" spans="1:77" ht="32" customHeight="1">
      <c r="A40" s="592"/>
      <c r="B40" s="511" t="s">
        <v>115</v>
      </c>
      <c r="C40" s="512" t="s">
        <v>319</v>
      </c>
      <c r="D40" s="519">
        <v>0.5</v>
      </c>
      <c r="E40" s="479" t="s">
        <v>116</v>
      </c>
      <c r="F40" s="523">
        <v>1</v>
      </c>
      <c r="G40" s="513" t="s">
        <v>50</v>
      </c>
      <c r="H40" s="523">
        <v>0</v>
      </c>
      <c r="I40" s="551" t="s">
        <v>49</v>
      </c>
      <c r="J40" s="523">
        <v>0</v>
      </c>
      <c r="K40" s="558" t="s">
        <v>320</v>
      </c>
      <c r="L40" s="543">
        <v>1</v>
      </c>
      <c r="M40" s="546">
        <f t="shared" si="61"/>
        <v>0.71145833333333319</v>
      </c>
      <c r="N40" s="540">
        <f>Viherkerroin!L42</f>
        <v>0</v>
      </c>
      <c r="O40" s="157" t="e">
        <f>(#REF!*$AY$3+#REF!*$AY$9+#REF!*$AY$14+#REF!*$AY$15+#REF!*$AY$16)/($AY$3+$AY$9+$AY$14+$AY$15+$AY$16)</f>
        <v>#REF!</v>
      </c>
      <c r="P40" s="160"/>
      <c r="Q40" s="155"/>
      <c r="R40" s="155"/>
      <c r="S40" s="155"/>
      <c r="T40" s="155"/>
      <c r="U40" s="155"/>
      <c r="V40" s="144"/>
      <c r="W40" s="144"/>
      <c r="X40" s="155"/>
      <c r="Y40" s="155"/>
      <c r="Z40" s="155"/>
      <c r="AA40" s="155"/>
      <c r="AB40" s="155"/>
      <c r="AC40" s="155"/>
      <c r="AD40" s="155"/>
      <c r="AE40" s="155"/>
      <c r="AF40" s="155"/>
      <c r="AG40" s="155"/>
      <c r="AH40" s="155"/>
      <c r="AI40" s="155"/>
      <c r="AJ40" s="459">
        <f t="shared" si="62"/>
        <v>0</v>
      </c>
      <c r="AK40" s="459">
        <f t="shared" si="63"/>
        <v>0</v>
      </c>
      <c r="AL40" s="459">
        <f t="shared" si="64"/>
        <v>0</v>
      </c>
      <c r="AM40" s="459">
        <f t="shared" si="65"/>
        <v>0</v>
      </c>
      <c r="AN40" s="459">
        <f t="shared" si="66"/>
        <v>0</v>
      </c>
      <c r="AO40" s="460">
        <f t="shared" si="67"/>
        <v>0</v>
      </c>
      <c r="AP40" s="114"/>
      <c r="AQ40" s="461">
        <f t="shared" si="68"/>
        <v>0.22303562713518793</v>
      </c>
      <c r="AR40" s="461">
        <f t="shared" si="69"/>
        <v>0.42557345046364076</v>
      </c>
      <c r="AS40" s="461">
        <f t="shared" si="70"/>
        <v>0</v>
      </c>
      <c r="AT40" s="461">
        <f t="shared" si="71"/>
        <v>0</v>
      </c>
      <c r="AU40" s="461">
        <f t="shared" si="72"/>
        <v>0.35139092240117137</v>
      </c>
      <c r="AV40" s="462">
        <f t="shared" si="73"/>
        <v>1</v>
      </c>
      <c r="AW40" s="159"/>
      <c r="AX40" s="74"/>
      <c r="AY40" s="74"/>
      <c r="AZ40" s="74"/>
      <c r="BA40" s="74"/>
      <c r="BB40" s="74"/>
      <c r="BC40" s="74"/>
      <c r="BD40" s="74"/>
      <c r="BE40" s="74"/>
      <c r="BF40" s="104">
        <f t="shared" si="74"/>
        <v>0</v>
      </c>
      <c r="BG40" s="74"/>
      <c r="BH40" s="74"/>
      <c r="BI40" s="74"/>
    </row>
    <row r="41" spans="1:77" ht="32" customHeight="1">
      <c r="A41" s="592"/>
      <c r="B41" s="511" t="s">
        <v>480</v>
      </c>
      <c r="C41" s="552" t="s">
        <v>549</v>
      </c>
      <c r="D41" s="519">
        <v>1</v>
      </c>
      <c r="E41" s="553" t="s">
        <v>114</v>
      </c>
      <c r="F41" s="523">
        <v>0.5</v>
      </c>
      <c r="G41" s="554" t="s">
        <v>50</v>
      </c>
      <c r="H41" s="523">
        <v>0</v>
      </c>
      <c r="I41" s="553" t="s">
        <v>552</v>
      </c>
      <c r="J41" s="523">
        <v>0.5</v>
      </c>
      <c r="K41" s="559" t="s">
        <v>554</v>
      </c>
      <c r="L41" s="543">
        <v>0.5</v>
      </c>
      <c r="M41" s="546">
        <f t="shared" si="61"/>
        <v>0.66388888888888875</v>
      </c>
      <c r="N41" s="540">
        <f>Viherkerroin!L44</f>
        <v>0</v>
      </c>
      <c r="O41" s="149" t="e">
        <f>(#REF!*$AY$3+#REF!*$AY$9+#REF!*$AY$14+#REF!*$AY$15+#REF!*$AY$16)/($AY$3+$AY$9+$AY$14+$AY$15+$AY$16)</f>
        <v>#REF!</v>
      </c>
      <c r="P41" s="155"/>
      <c r="V41" s="144"/>
      <c r="W41" s="144"/>
      <c r="AJ41" s="459">
        <f t="shared" si="62"/>
        <v>0</v>
      </c>
      <c r="AK41" s="459">
        <f t="shared" si="63"/>
        <v>0</v>
      </c>
      <c r="AL41" s="459">
        <f t="shared" si="64"/>
        <v>0</v>
      </c>
      <c r="AM41" s="459">
        <f t="shared" si="65"/>
        <v>0</v>
      </c>
      <c r="AN41" s="459">
        <f t="shared" si="66"/>
        <v>0</v>
      </c>
      <c r="AO41" s="460">
        <f t="shared" ref="AO41" si="75">SUM(AJ41:AN41)</f>
        <v>0</v>
      </c>
      <c r="AP41" s="145"/>
      <c r="AQ41" s="461">
        <f t="shared" si="68"/>
        <v>0.47803347280334735</v>
      </c>
      <c r="AR41" s="461">
        <f t="shared" si="69"/>
        <v>0.22803347280334726</v>
      </c>
      <c r="AS41" s="461">
        <f t="shared" si="70"/>
        <v>0</v>
      </c>
      <c r="AT41" s="461">
        <f t="shared" si="71"/>
        <v>0.10564853556485358</v>
      </c>
      <c r="AU41" s="461">
        <f t="shared" si="72"/>
        <v>0.18828451882845193</v>
      </c>
      <c r="AV41" s="462">
        <f t="shared" si="73"/>
        <v>1</v>
      </c>
      <c r="AX41" s="131"/>
      <c r="AY41" s="131"/>
      <c r="AZ41" s="131"/>
      <c r="BA41" s="131"/>
      <c r="BB41" s="131"/>
      <c r="BC41" s="131"/>
      <c r="BD41" s="139"/>
      <c r="BE41" s="139"/>
      <c r="BF41" s="104">
        <f t="shared" ref="BF41:BF42" si="76">IF(AND(N41&gt;0,N41&lt;&gt;"-"),1,0)</f>
        <v>0</v>
      </c>
      <c r="BG41" s="74"/>
      <c r="BH41" s="74"/>
      <c r="BI41" s="74"/>
    </row>
    <row r="42" spans="1:77" s="155" customFormat="1" ht="32" customHeight="1" thickBot="1">
      <c r="A42" s="593"/>
      <c r="B42" s="514" t="s">
        <v>548</v>
      </c>
      <c r="C42" s="555" t="s">
        <v>550</v>
      </c>
      <c r="D42" s="520">
        <v>1</v>
      </c>
      <c r="E42" s="588" t="s">
        <v>551</v>
      </c>
      <c r="F42" s="576">
        <v>0</v>
      </c>
      <c r="G42" s="556" t="s">
        <v>50</v>
      </c>
      <c r="H42" s="524">
        <v>0</v>
      </c>
      <c r="I42" s="481" t="s">
        <v>553</v>
      </c>
      <c r="J42" s="524">
        <v>0.5</v>
      </c>
      <c r="K42" s="560" t="s">
        <v>555</v>
      </c>
      <c r="L42" s="544">
        <v>0.5</v>
      </c>
      <c r="M42" s="547">
        <f t="shared" si="61"/>
        <v>0.51249999999999996</v>
      </c>
      <c r="N42" s="541">
        <f>Viherkerroin!L45</f>
        <v>0</v>
      </c>
      <c r="O42" s="149"/>
      <c r="P42" s="74"/>
      <c r="V42" s="144"/>
      <c r="W42" s="144"/>
      <c r="AJ42" s="459">
        <f t="shared" si="62"/>
        <v>0</v>
      </c>
      <c r="AK42" s="459">
        <f t="shared" si="63"/>
        <v>0</v>
      </c>
      <c r="AL42" s="459">
        <f t="shared" si="64"/>
        <v>0</v>
      </c>
      <c r="AM42" s="459">
        <f t="shared" si="65"/>
        <v>0</v>
      </c>
      <c r="AN42" s="459">
        <f t="shared" si="66"/>
        <v>0</v>
      </c>
      <c r="AO42" s="460">
        <f t="shared" ref="AO42" si="77">SUM(AJ42:AN42)</f>
        <v>0</v>
      </c>
      <c r="AP42" s="145"/>
      <c r="AQ42" s="461">
        <f t="shared" si="68"/>
        <v>0.6192411924119241</v>
      </c>
      <c r="AR42" s="461">
        <f t="shared" si="69"/>
        <v>0</v>
      </c>
      <c r="AS42" s="461">
        <f t="shared" si="70"/>
        <v>0</v>
      </c>
      <c r="AT42" s="461">
        <f t="shared" si="71"/>
        <v>0.13685636856368566</v>
      </c>
      <c r="AU42" s="461">
        <f t="shared" si="72"/>
        <v>0.24390243902439027</v>
      </c>
      <c r="AV42" s="462">
        <f t="shared" si="73"/>
        <v>1</v>
      </c>
      <c r="AX42" s="131"/>
      <c r="AY42" s="131"/>
      <c r="AZ42" s="131"/>
      <c r="BA42" s="131"/>
      <c r="BB42" s="131"/>
      <c r="BC42" s="131"/>
      <c r="BD42" s="74"/>
      <c r="BE42" s="74"/>
      <c r="BF42" s="104">
        <f t="shared" si="76"/>
        <v>0</v>
      </c>
      <c r="BG42" s="131"/>
      <c r="BH42" s="131"/>
      <c r="BI42" s="131"/>
    </row>
    <row r="43" spans="1:77" s="155" customFormat="1" ht="32" customHeight="1">
      <c r="O43" s="149"/>
      <c r="P43" s="74"/>
      <c r="V43" s="144"/>
      <c r="W43" s="144"/>
      <c r="AJ43" s="459">
        <f>SUM(AJ2:AJ42)</f>
        <v>0.34894375159073554</v>
      </c>
      <c r="AK43" s="459">
        <f>SUM(AK2:AK42)</f>
        <v>0.22193942479002288</v>
      </c>
      <c r="AL43" s="459">
        <f>SUM(AL2:AL42)</f>
        <v>0</v>
      </c>
      <c r="AM43" s="459">
        <f>SUM(AM2:AM42)</f>
        <v>0.15423771952150675</v>
      </c>
      <c r="AN43" s="459">
        <f>SUM(AN2:AN42)</f>
        <v>0.27487910409773481</v>
      </c>
      <c r="AO43" s="460">
        <f>SUM(AJ43:AN43)</f>
        <v>1</v>
      </c>
      <c r="AP43" s="459"/>
      <c r="AQ43" s="459">
        <f t="shared" ref="AQ43:AV43" si="78">SUM(AQ2:AQ42)</f>
        <v>11.637497937919841</v>
      </c>
      <c r="AR43" s="459">
        <f t="shared" si="78"/>
        <v>9.655911390314607</v>
      </c>
      <c r="AS43" s="459">
        <f t="shared" si="78"/>
        <v>5.8621688928424183</v>
      </c>
      <c r="AT43" s="459">
        <f t="shared" si="78"/>
        <v>4.6884500917927507</v>
      </c>
      <c r="AU43" s="459">
        <f t="shared" si="78"/>
        <v>9.155971687130382</v>
      </c>
      <c r="AV43" s="460">
        <f t="shared" si="78"/>
        <v>41</v>
      </c>
      <c r="AX43" s="131"/>
      <c r="AY43" s="131"/>
      <c r="AZ43" s="131"/>
      <c r="BA43" s="131"/>
      <c r="BB43" s="131"/>
      <c r="BC43" s="131"/>
      <c r="BD43" s="74"/>
      <c r="BE43" s="74"/>
      <c r="BF43" s="104"/>
      <c r="BG43" s="131"/>
      <c r="BH43" s="131"/>
      <c r="BI43" s="131"/>
    </row>
    <row r="44" spans="1:77" s="139" customFormat="1" ht="32" customHeight="1">
      <c r="A44" s="134"/>
      <c r="B44" s="74"/>
      <c r="C44" s="140"/>
      <c r="D44" s="81"/>
      <c r="E44" s="140"/>
      <c r="F44" s="81"/>
      <c r="H44" s="81"/>
      <c r="I44" s="140"/>
      <c r="J44" s="81"/>
      <c r="K44" s="140"/>
      <c r="L44" s="81"/>
      <c r="M44" s="163"/>
      <c r="N44" s="163"/>
      <c r="O44" s="36"/>
      <c r="P44" s="74"/>
      <c r="Q44" s="36"/>
      <c r="R44" s="36"/>
      <c r="S44" s="36"/>
      <c r="T44" s="36"/>
      <c r="U44" s="36"/>
      <c r="V44" s="66"/>
      <c r="W44" s="45"/>
      <c r="X44" s="36"/>
      <c r="Y44" s="36"/>
      <c r="Z44" s="20"/>
      <c r="AA44" s="20"/>
      <c r="AB44" s="20"/>
      <c r="AC44" s="20"/>
      <c r="AD44" s="20"/>
      <c r="AE44" s="20"/>
      <c r="AF44" s="20"/>
      <c r="AG44" s="20"/>
      <c r="AH44" s="20"/>
      <c r="AI44" s="20"/>
      <c r="AW44" s="20"/>
      <c r="AX44" s="155"/>
      <c r="AY44" s="155"/>
      <c r="AZ44" s="155"/>
      <c r="BA44" s="155"/>
      <c r="BB44" s="155"/>
      <c r="BC44" s="155"/>
      <c r="BD44" s="155"/>
      <c r="BE44" s="155"/>
      <c r="BF44" s="20"/>
      <c r="BG44" s="161"/>
      <c r="BH44" s="161"/>
      <c r="BI44" s="161"/>
      <c r="BJ44" s="161"/>
      <c r="BK44" s="161"/>
      <c r="BL44" s="162"/>
      <c r="BM44" s="162"/>
      <c r="BN44" s="162"/>
      <c r="BO44" s="162"/>
      <c r="BP44" s="162"/>
      <c r="BQ44" s="162"/>
      <c r="BR44" s="162"/>
      <c r="BS44" s="162"/>
      <c r="BT44" s="162"/>
      <c r="BU44" s="162"/>
      <c r="BV44" s="162"/>
      <c r="BW44" s="162"/>
      <c r="BX44" s="162"/>
      <c r="BY44" s="162"/>
    </row>
    <row r="45" spans="1:77" ht="32" customHeight="1">
      <c r="A45" s="97" t="s">
        <v>143</v>
      </c>
      <c r="AP45" s="150"/>
      <c r="AX45" s="155"/>
      <c r="AY45" s="155"/>
      <c r="AZ45" s="155"/>
      <c r="BA45" s="155"/>
      <c r="BB45" s="155"/>
      <c r="BC45" s="155"/>
    </row>
    <row r="46" spans="1:77" ht="32" customHeight="1">
      <c r="A46" s="93">
        <v>1</v>
      </c>
      <c r="B46" s="93" t="s">
        <v>131</v>
      </c>
      <c r="AP46" s="150"/>
      <c r="AW46" s="155"/>
      <c r="AX46" s="164"/>
      <c r="AY46" s="155"/>
      <c r="AZ46" s="155"/>
      <c r="BA46" s="155"/>
      <c r="BB46" s="155"/>
      <c r="BC46" s="155"/>
    </row>
    <row r="47" spans="1:77" s="155" customFormat="1" ht="32" customHeight="1">
      <c r="A47" s="93">
        <v>2</v>
      </c>
      <c r="B47" s="93" t="s">
        <v>132</v>
      </c>
      <c r="C47" s="140"/>
      <c r="D47" s="81"/>
      <c r="E47" s="140"/>
      <c r="F47" s="81"/>
      <c r="G47" s="139"/>
      <c r="H47" s="81"/>
      <c r="I47" s="140"/>
      <c r="J47" s="81"/>
      <c r="K47" s="140"/>
      <c r="L47" s="81"/>
      <c r="M47" s="163"/>
      <c r="N47" s="163"/>
      <c r="O47" s="36"/>
      <c r="P47" s="74"/>
      <c r="Q47" s="36"/>
      <c r="R47" s="36"/>
      <c r="S47" s="36"/>
      <c r="T47" s="36"/>
      <c r="U47" s="36"/>
      <c r="V47" s="66"/>
      <c r="W47" s="45"/>
      <c r="X47" s="36"/>
      <c r="Y47" s="36"/>
      <c r="Z47" s="20"/>
      <c r="AA47" s="20"/>
      <c r="AB47" s="20"/>
      <c r="AC47" s="20"/>
      <c r="AD47" s="20"/>
      <c r="AE47" s="20"/>
      <c r="AF47" s="20"/>
      <c r="AG47" s="20"/>
      <c r="AH47" s="20"/>
      <c r="AI47" s="20"/>
      <c r="AJ47" s="20"/>
      <c r="AK47" s="20"/>
      <c r="AL47" s="20"/>
      <c r="AM47" s="20"/>
      <c r="AN47" s="20"/>
      <c r="AO47" s="20"/>
      <c r="AP47" s="150"/>
      <c r="AQ47" s="20"/>
      <c r="AR47" s="20"/>
      <c r="AS47" s="20"/>
      <c r="AT47" s="20"/>
      <c r="AU47" s="20"/>
      <c r="AV47" s="20"/>
      <c r="AW47" s="20"/>
      <c r="AX47" s="20"/>
      <c r="AY47" s="20"/>
      <c r="AZ47" s="20"/>
      <c r="BA47" s="20"/>
      <c r="BB47" s="20"/>
      <c r="BC47" s="20"/>
      <c r="BD47" s="20"/>
      <c r="BE47" s="20"/>
      <c r="BF47" s="20"/>
    </row>
    <row r="48" spans="1:77" ht="32" customHeight="1">
      <c r="A48" s="93">
        <v>3</v>
      </c>
      <c r="B48" s="137" t="s">
        <v>338</v>
      </c>
      <c r="AP48" s="150"/>
      <c r="AX48" s="155"/>
      <c r="AY48" s="155"/>
      <c r="AZ48" s="155"/>
      <c r="BA48" s="155"/>
      <c r="BB48" s="155"/>
      <c r="BC48" s="155"/>
      <c r="BD48" s="155"/>
      <c r="BE48" s="155"/>
    </row>
    <row r="49" spans="1:58" ht="32" customHeight="1">
      <c r="A49" s="93">
        <v>4</v>
      </c>
      <c r="B49" s="93" t="s">
        <v>133</v>
      </c>
      <c r="AP49" s="150"/>
      <c r="AW49" s="155"/>
    </row>
    <row r="50" spans="1:58" ht="32" customHeight="1">
      <c r="A50" s="93">
        <v>5</v>
      </c>
      <c r="B50" s="93" t="s">
        <v>134</v>
      </c>
      <c r="AP50" s="150"/>
    </row>
    <row r="51" spans="1:58" s="155" customFormat="1" ht="20" customHeight="1">
      <c r="A51" s="93">
        <v>6</v>
      </c>
      <c r="B51" s="93" t="s">
        <v>135</v>
      </c>
      <c r="C51" s="140"/>
      <c r="D51" s="81"/>
      <c r="E51" s="140"/>
      <c r="F51" s="81"/>
      <c r="G51" s="139"/>
      <c r="H51" s="81"/>
      <c r="I51" s="140"/>
      <c r="J51" s="81"/>
      <c r="K51" s="140"/>
      <c r="L51" s="81"/>
      <c r="M51" s="163"/>
      <c r="N51" s="163"/>
      <c r="O51" s="36"/>
      <c r="P51" s="74"/>
      <c r="Q51" s="36"/>
      <c r="R51" s="36"/>
      <c r="S51" s="36"/>
      <c r="T51" s="36"/>
      <c r="U51" s="36"/>
      <c r="V51" s="66"/>
      <c r="W51" s="45"/>
      <c r="X51" s="36"/>
      <c r="Y51" s="36"/>
      <c r="Z51" s="20"/>
      <c r="AA51" s="20"/>
      <c r="AB51" s="20"/>
      <c r="AC51" s="20"/>
      <c r="AD51" s="20"/>
      <c r="AE51" s="20"/>
      <c r="AF51" s="20"/>
      <c r="AG51" s="20"/>
      <c r="AH51" s="20"/>
      <c r="AI51" s="20"/>
      <c r="AJ51" s="20"/>
      <c r="AK51" s="20"/>
      <c r="AL51" s="20"/>
      <c r="AM51" s="20"/>
      <c r="AN51" s="20"/>
      <c r="AO51" s="20"/>
      <c r="AP51" s="150"/>
      <c r="AQ51" s="20"/>
      <c r="AR51" s="20"/>
      <c r="AS51" s="20"/>
      <c r="AT51" s="20"/>
      <c r="AU51" s="20"/>
      <c r="AV51" s="20"/>
      <c r="AW51" s="20"/>
      <c r="AX51" s="20"/>
      <c r="AY51" s="20"/>
      <c r="AZ51" s="20"/>
      <c r="BA51" s="20"/>
      <c r="BB51" s="20"/>
      <c r="BC51" s="20"/>
      <c r="BD51" s="20"/>
      <c r="BE51" s="20"/>
      <c r="BF51" s="20"/>
    </row>
    <row r="52" spans="1:58" ht="20" customHeight="1">
      <c r="A52" s="93">
        <v>7</v>
      </c>
      <c r="B52" s="93" t="s">
        <v>136</v>
      </c>
      <c r="AP52" s="150"/>
    </row>
    <row r="53" spans="1:58" ht="20" customHeight="1">
      <c r="A53" s="93">
        <v>8</v>
      </c>
      <c r="B53" s="137" t="s">
        <v>339</v>
      </c>
    </row>
    <row r="54" spans="1:58" ht="20" customHeight="1">
      <c r="A54" s="93">
        <v>9</v>
      </c>
      <c r="B54" s="93" t="s">
        <v>137</v>
      </c>
    </row>
    <row r="55" spans="1:58" ht="20" customHeight="1">
      <c r="A55" s="93">
        <v>10</v>
      </c>
      <c r="B55" s="93" t="s">
        <v>138</v>
      </c>
    </row>
    <row r="56" spans="1:58" ht="20" customHeight="1">
      <c r="A56" s="93">
        <v>11</v>
      </c>
      <c r="B56" s="93" t="s">
        <v>139</v>
      </c>
    </row>
    <row r="57" spans="1:58" ht="20" customHeight="1">
      <c r="A57" s="93">
        <v>12</v>
      </c>
      <c r="B57" s="93" t="s">
        <v>140</v>
      </c>
    </row>
    <row r="58" spans="1:58" ht="20" customHeight="1">
      <c r="A58" s="93">
        <v>13</v>
      </c>
      <c r="B58" s="137" t="s">
        <v>340</v>
      </c>
    </row>
    <row r="59" spans="1:58" ht="20" customHeight="1">
      <c r="A59" s="93">
        <v>14</v>
      </c>
      <c r="B59" s="93" t="s">
        <v>141</v>
      </c>
    </row>
    <row r="60" spans="1:58" ht="20" customHeight="1">
      <c r="A60" s="93">
        <v>15</v>
      </c>
      <c r="B60" s="93" t="s">
        <v>142</v>
      </c>
    </row>
    <row r="61" spans="1:58" ht="20" customHeight="1">
      <c r="A61" s="93">
        <v>16</v>
      </c>
      <c r="B61" s="93" t="s">
        <v>159</v>
      </c>
    </row>
    <row r="62" spans="1:58" ht="20" customHeight="1">
      <c r="A62" s="93">
        <v>17</v>
      </c>
      <c r="B62" s="138" t="s">
        <v>160</v>
      </c>
    </row>
    <row r="63" spans="1:58" ht="20" customHeight="1">
      <c r="A63" s="93">
        <v>18</v>
      </c>
      <c r="B63" s="93" t="s">
        <v>161</v>
      </c>
    </row>
    <row r="64" spans="1:58" ht="20" customHeight="1"/>
    <row r="65" ht="20" customHeight="1"/>
    <row r="66" ht="20" customHeight="1"/>
    <row r="67" ht="20" customHeight="1"/>
    <row r="68" ht="20" customHeight="1"/>
  </sheetData>
  <customSheetViews>
    <customSheetView guid="{C0826E8D-7112-6B45-A18A-1E6622F31D95}" scale="80" state="hidden">
      <selection activeCell="BD15" sqref="BD15"/>
      <pageMargins left="0.7" right="0.7" top="0.75" bottom="0.75" header="0.3" footer="0.3"/>
      <pageSetup paperSize="9" orientation="portrait" verticalDpi="0" r:id="rId1"/>
    </customSheetView>
  </customSheetViews>
  <mergeCells count="21">
    <mergeCell ref="K1:L1"/>
    <mergeCell ref="AX1:AY1"/>
    <mergeCell ref="AX3:AX8"/>
    <mergeCell ref="AY3:AY8"/>
    <mergeCell ref="AX9:AX11"/>
    <mergeCell ref="AY9:AY11"/>
    <mergeCell ref="C1:D1"/>
    <mergeCell ref="E1:F1"/>
    <mergeCell ref="G1:H1"/>
    <mergeCell ref="I1:J1"/>
    <mergeCell ref="A22:A25"/>
    <mergeCell ref="A26:A27"/>
    <mergeCell ref="A28:A34"/>
    <mergeCell ref="BA9:BA11"/>
    <mergeCell ref="BA3:BA8"/>
    <mergeCell ref="AZ3:AZ8"/>
    <mergeCell ref="AZ9:AZ11"/>
    <mergeCell ref="A2:A9"/>
    <mergeCell ref="A10:A21"/>
    <mergeCell ref="AX17:AX18"/>
    <mergeCell ref="P6:P7"/>
  </mergeCells>
  <conditionalFormatting sqref="W1:W33 W35:W1048576">
    <cfRule type="cellIs" dxfId="14" priority="1" operator="lessThan">
      <formula>0</formula>
    </cfRule>
    <cfRule type="cellIs" dxfId="13" priority="2" operator="greaterThan">
      <formula>0</formula>
    </cfRule>
  </conditionalFormatting>
  <pageMargins left="0.7" right="0.7" top="0.75" bottom="0.75" header="0.3" footer="0.3"/>
  <pageSetup paperSize="9" orientation="portrait" verticalDpi="0" r:id="rId2"/>
  <legacy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4"/>
  <dimension ref="A1:E33"/>
  <sheetViews>
    <sheetView workbookViewId="0">
      <selection activeCell="B19" sqref="B19"/>
    </sheetView>
  </sheetViews>
  <sheetFormatPr baseColWidth="10" defaultColWidth="8.83203125" defaultRowHeight="14"/>
  <cols>
    <col min="1" max="1" width="70.83203125" style="16" customWidth="1"/>
    <col min="2" max="2" width="50.83203125" style="16" customWidth="1"/>
    <col min="3" max="3" width="30.83203125" style="16" customWidth="1"/>
    <col min="4" max="16384" width="8.83203125" style="16"/>
  </cols>
  <sheetData>
    <row r="1" spans="1:5">
      <c r="A1" s="184" t="s">
        <v>174</v>
      </c>
      <c r="B1" s="184" t="s">
        <v>354</v>
      </c>
      <c r="C1" s="184" t="s">
        <v>271</v>
      </c>
    </row>
    <row r="2" spans="1:5">
      <c r="A2" s="16" t="s">
        <v>175</v>
      </c>
      <c r="B2" s="16" t="s">
        <v>175</v>
      </c>
      <c r="C2" s="16" t="s">
        <v>175</v>
      </c>
    </row>
    <row r="3" spans="1:5">
      <c r="A3" s="185">
        <v>0</v>
      </c>
      <c r="B3" s="186">
        <v>0</v>
      </c>
      <c r="C3" s="184">
        <v>0.5</v>
      </c>
      <c r="E3" s="184"/>
    </row>
    <row r="4" spans="1:5">
      <c r="A4" s="185">
        <v>0.1</v>
      </c>
      <c r="B4" s="186">
        <v>0.05</v>
      </c>
      <c r="C4" s="185">
        <v>1</v>
      </c>
      <c r="E4" s="185"/>
    </row>
    <row r="5" spans="1:5">
      <c r="A5" s="185">
        <v>0.2</v>
      </c>
      <c r="B5" s="186">
        <v>0.1</v>
      </c>
      <c r="C5" s="185">
        <v>1.5</v>
      </c>
      <c r="E5" s="185"/>
    </row>
    <row r="6" spans="1:5">
      <c r="A6" s="185">
        <v>0.3</v>
      </c>
      <c r="B6" s="186">
        <v>0.15</v>
      </c>
      <c r="C6" s="185">
        <v>2</v>
      </c>
      <c r="E6" s="185"/>
    </row>
    <row r="7" spans="1:5">
      <c r="A7" s="185">
        <v>0.4</v>
      </c>
      <c r="B7" s="186">
        <v>0.2</v>
      </c>
      <c r="C7" s="185"/>
    </row>
    <row r="8" spans="1:5">
      <c r="A8" s="185">
        <v>0.5</v>
      </c>
      <c r="B8" s="186">
        <v>0.25</v>
      </c>
      <c r="C8" s="185"/>
    </row>
    <row r="9" spans="1:5">
      <c r="A9" s="185">
        <v>0.6</v>
      </c>
      <c r="B9" s="186">
        <v>0.3</v>
      </c>
      <c r="C9" s="185"/>
    </row>
    <row r="10" spans="1:5">
      <c r="A10" s="185">
        <v>0.7</v>
      </c>
      <c r="B10" s="186">
        <v>0.35</v>
      </c>
      <c r="C10" s="185"/>
    </row>
    <row r="11" spans="1:5">
      <c r="A11" s="185">
        <v>0.8</v>
      </c>
      <c r="B11" s="186">
        <v>0.4</v>
      </c>
      <c r="C11" s="185"/>
    </row>
    <row r="12" spans="1:5">
      <c r="A12" s="185">
        <v>0.9</v>
      </c>
      <c r="B12" s="186">
        <v>0.5</v>
      </c>
      <c r="C12" s="185"/>
    </row>
    <row r="13" spans="1:5">
      <c r="A13" s="185">
        <v>1</v>
      </c>
      <c r="B13" s="186">
        <v>0.6</v>
      </c>
      <c r="C13" s="185"/>
    </row>
    <row r="14" spans="1:5">
      <c r="A14" s="185">
        <v>1.1000000000000001</v>
      </c>
      <c r="B14" s="186">
        <v>0.7</v>
      </c>
      <c r="C14" s="185"/>
    </row>
    <row r="15" spans="1:5">
      <c r="A15" s="185">
        <v>1.2</v>
      </c>
      <c r="B15" s="186">
        <v>0.8</v>
      </c>
      <c r="C15" s="185"/>
    </row>
    <row r="16" spans="1:5">
      <c r="A16" s="185">
        <v>1.3</v>
      </c>
      <c r="B16" s="186">
        <v>0.9</v>
      </c>
      <c r="C16" s="185"/>
    </row>
    <row r="17" spans="1:3">
      <c r="A17" s="185">
        <v>1.4</v>
      </c>
      <c r="B17" s="186">
        <v>1</v>
      </c>
      <c r="C17" s="185"/>
    </row>
    <row r="18" spans="1:3">
      <c r="A18" s="185">
        <v>1.5</v>
      </c>
      <c r="B18" s="186"/>
      <c r="C18" s="185"/>
    </row>
    <row r="20" spans="1:3">
      <c r="A20" s="16" t="s">
        <v>374</v>
      </c>
    </row>
    <row r="21" spans="1:3">
      <c r="A21" s="16" t="s">
        <v>175</v>
      </c>
    </row>
    <row r="22" spans="1:3">
      <c r="A22" s="253">
        <v>0</v>
      </c>
    </row>
    <row r="23" spans="1:3">
      <c r="A23" s="16" t="s">
        <v>405</v>
      </c>
    </row>
    <row r="24" spans="1:3">
      <c r="A24" s="16" t="s">
        <v>385</v>
      </c>
    </row>
    <row r="25" spans="1:3">
      <c r="A25" s="16" t="s">
        <v>406</v>
      </c>
    </row>
    <row r="26" spans="1:3">
      <c r="A26" s="16" t="s">
        <v>386</v>
      </c>
    </row>
    <row r="28" spans="1:3">
      <c r="A28" s="16" t="s">
        <v>384</v>
      </c>
    </row>
    <row r="29" spans="1:3">
      <c r="A29" s="16" t="s">
        <v>175</v>
      </c>
    </row>
    <row r="30" spans="1:3">
      <c r="A30" s="16" t="s">
        <v>428</v>
      </c>
    </row>
    <row r="31" spans="1:3">
      <c r="A31" s="16" t="s">
        <v>429</v>
      </c>
    </row>
    <row r="32" spans="1:3">
      <c r="A32" s="16" t="s">
        <v>430</v>
      </c>
    </row>
    <row r="33" spans="1:1">
      <c r="A33" s="16" t="s">
        <v>431</v>
      </c>
    </row>
  </sheetData>
  <customSheetViews>
    <customSheetView guid="{C0826E8D-7112-6B45-A18A-1E6622F31D95}" state="hidden">
      <selection activeCell="A5" sqref="A5"/>
      <pageMargins left="0.7" right="0.7" top="0.75" bottom="0.75" header="0.3" footer="0.3"/>
    </customSheetView>
  </customSheetViews>
  <pageMargins left="0.7" right="0.7" top="0.75" bottom="0.75" header="0.3" footer="0.3"/>
  <pageSetup paperSize="9" orientation="portrait" horizontalDpi="0" verticalDpi="0"/>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Laskentataulukot</vt:lpstr>
      </vt:variant>
      <vt:variant>
        <vt:i4>10</vt:i4>
      </vt:variant>
      <vt:variant>
        <vt:lpstr>Nimetyt alueet</vt:lpstr>
      </vt:variant>
      <vt:variant>
        <vt:i4>5</vt:i4>
      </vt:variant>
    </vt:vector>
  </HeadingPairs>
  <TitlesOfParts>
    <vt:vector size="15" baseType="lpstr">
      <vt:lpstr>Ohjeet</vt:lpstr>
      <vt:lpstr>Rajaukset</vt:lpstr>
      <vt:lpstr>Viherkerroin</vt:lpstr>
      <vt:lpstr>Luontolaskuri</vt:lpstr>
      <vt:lpstr>Tulokset</vt:lpstr>
      <vt:lpstr>Viherkertoimen lisätiedot</vt:lpstr>
      <vt:lpstr>Elementtien lisätiedot</vt:lpstr>
      <vt:lpstr>Luontolaskurin lisätiedot</vt:lpstr>
      <vt:lpstr>Painokertoimet</vt:lpstr>
      <vt:lpstr>Kelpoisuusehdot</vt:lpstr>
      <vt:lpstr>helevesiratkaisun_keskisyvyys</vt:lpstr>
      <vt:lpstr>hulevesi_keskisyvyys</vt:lpstr>
      <vt:lpstr>Hulevesiratkaisun_keskisyvyys__m</vt:lpstr>
      <vt:lpstr>Painokertoimet!Tulostusalue</vt:lpstr>
      <vt:lpstr>Tulokset!Tulostusalue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Topi Tiihonen;Elina Inkiläinen</dc:creator>
  <cp:lastModifiedBy>Alex Salminen</cp:lastModifiedBy>
  <cp:lastPrinted>2017-06-14T06:15:29Z</cp:lastPrinted>
  <dcterms:created xsi:type="dcterms:W3CDTF">2013-08-27T19:40:10Z</dcterms:created>
  <dcterms:modified xsi:type="dcterms:W3CDTF">2024-03-06T12:36:23Z</dcterms:modified>
</cp:coreProperties>
</file>